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filterPrivacy="1"/>
  <bookViews>
    <workbookView xWindow="-120" yWindow="-120" windowWidth="20730" windowHeight="11160"/>
  </bookViews>
  <sheets>
    <sheet name="Таблиця 1" sheetId="1" r:id="rId1"/>
    <sheet name="Таблиця 2" sheetId="2" r:id="rId2"/>
    <sheet name="Таблиця 3" sheetId="3" r:id="rId3"/>
    <sheet name="Таблиця 4" sheetId="4" r:id="rId4"/>
    <sheet name="Таблиця 5" sheetId="5" r:id="rId5"/>
  </sheets>
  <definedNames>
    <definedName name="bookmark4" localSheetId="3">'Таблиця 4'!$A$2</definedName>
    <definedName name="_xlnm.Print_Area" localSheetId="0">'Таблиця 1'!$A$1:$I$105</definedName>
    <definedName name="_xlnm.Print_Area" localSheetId="2">'Таблиця 3'!$A$1:$I$48</definedName>
  </definedNames>
  <calcPr calcId="12451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4" i="2"/>
  <c r="I26" i="1"/>
  <c r="I11" i="3"/>
  <c r="H11"/>
  <c r="G11"/>
  <c r="F11"/>
  <c r="E11"/>
  <c r="D11"/>
  <c r="C11"/>
  <c r="D22"/>
  <c r="C22"/>
  <c r="I22"/>
  <c r="H22"/>
  <c r="G22"/>
  <c r="F22"/>
  <c r="E22" s="1"/>
  <c r="B19" i="5"/>
  <c r="B16"/>
  <c r="E49" i="1" l="1"/>
  <c r="C44"/>
  <c r="C28"/>
  <c r="D44" l="1"/>
  <c r="D26"/>
  <c r="D28"/>
  <c r="I34" l="1"/>
  <c r="I28"/>
  <c r="E13" i="4"/>
  <c r="D21" i="5"/>
  <c r="D20"/>
  <c r="D19"/>
  <c r="I63" i="1"/>
  <c r="I89"/>
  <c r="I29" l="1"/>
  <c r="D10" i="3" l="1"/>
  <c r="D12"/>
  <c r="C10"/>
  <c r="C12"/>
  <c r="H44" i="1"/>
  <c r="H38"/>
  <c r="H26"/>
  <c r="G8" i="2" l="1"/>
  <c r="F64" i="1"/>
  <c r="F50"/>
  <c r="F46"/>
  <c r="F45"/>
  <c r="F38"/>
  <c r="F35"/>
  <c r="D23" i="5" l="1"/>
  <c r="D25"/>
  <c r="D24"/>
  <c r="D6"/>
  <c r="D17"/>
  <c r="D15"/>
  <c r="D16"/>
  <c r="D10"/>
  <c r="D13" i="3"/>
  <c r="D18" i="5" l="1"/>
  <c r="I17" i="2"/>
  <c r="H17"/>
  <c r="G17"/>
  <c r="F17"/>
  <c r="D17"/>
  <c r="C17"/>
  <c r="C8" i="3"/>
  <c r="E59" i="1" l="1"/>
  <c r="E46"/>
  <c r="E45"/>
  <c r="E89"/>
  <c r="E48"/>
  <c r="E17" i="2" s="1"/>
  <c r="E26" i="1" l="1"/>
  <c r="E28"/>
  <c r="E29"/>
  <c r="E32"/>
  <c r="E33"/>
  <c r="E34"/>
  <c r="E35"/>
  <c r="E36"/>
  <c r="E38"/>
  <c r="E39"/>
  <c r="E40"/>
  <c r="E43"/>
  <c r="E44"/>
  <c r="E47"/>
  <c r="C78" l="1"/>
  <c r="D78"/>
  <c r="E78"/>
  <c r="F78"/>
  <c r="C7" i="4" l="1"/>
  <c r="D7"/>
  <c r="B23" i="5"/>
  <c r="B15"/>
  <c r="B25"/>
  <c r="B24"/>
  <c r="C23" l="1"/>
  <c r="B17"/>
  <c r="C15"/>
  <c r="C17"/>
  <c r="E9" i="3"/>
  <c r="F43"/>
  <c r="G13"/>
  <c r="H13"/>
  <c r="F13"/>
  <c r="G12"/>
  <c r="H12"/>
  <c r="I12"/>
  <c r="G10"/>
  <c r="H10"/>
  <c r="I10"/>
  <c r="C25" i="5" l="1"/>
  <c r="E56" i="1" l="1"/>
  <c r="G25"/>
  <c r="H25"/>
  <c r="I25"/>
  <c r="F25"/>
  <c r="G30"/>
  <c r="H30"/>
  <c r="I30"/>
  <c r="F75"/>
  <c r="F55" s="1"/>
  <c r="F30"/>
  <c r="F98"/>
  <c r="F23" i="2" s="1"/>
  <c r="F97" i="1"/>
  <c r="F96"/>
  <c r="F94" s="1"/>
  <c r="F100" l="1"/>
  <c r="F23" i="3"/>
  <c r="F25" i="2"/>
  <c r="F21" s="1"/>
  <c r="F16"/>
  <c r="F26" i="3" s="1"/>
  <c r="E25" i="1"/>
  <c r="F12" i="3"/>
  <c r="E12" s="1"/>
  <c r="H8"/>
  <c r="H42" s="1"/>
  <c r="F15" i="2" l="1"/>
  <c r="F25" i="3" s="1"/>
  <c r="G96" i="1"/>
  <c r="G94" s="1"/>
  <c r="G78" l="1"/>
  <c r="H78"/>
  <c r="I78"/>
  <c r="G97"/>
  <c r="H97"/>
  <c r="I97"/>
  <c r="G98"/>
  <c r="G23" i="2" s="1"/>
  <c r="H98" i="1"/>
  <c r="H23" i="2" s="1"/>
  <c r="I98" i="1"/>
  <c r="I23" i="2" s="1"/>
  <c r="G75" i="1"/>
  <c r="G55" s="1"/>
  <c r="H75"/>
  <c r="H55" s="1"/>
  <c r="I75"/>
  <c r="I55" s="1"/>
  <c r="G16" i="2" l="1"/>
  <c r="G23" i="3"/>
  <c r="G25" i="2"/>
  <c r="I25"/>
  <c r="I16"/>
  <c r="I26" i="3" s="1"/>
  <c r="I23"/>
  <c r="G21" i="2"/>
  <c r="H25"/>
  <c r="H21" s="1"/>
  <c r="H16"/>
  <c r="H23" i="3"/>
  <c r="I100" i="1"/>
  <c r="I96"/>
  <c r="H96"/>
  <c r="G26" i="3" l="1"/>
  <c r="G15" i="2"/>
  <c r="G25" i="3" s="1"/>
  <c r="H26"/>
  <c r="H15" i="2"/>
  <c r="H25" i="3" s="1"/>
  <c r="H94" i="1"/>
  <c r="I94"/>
  <c r="I101" s="1"/>
  <c r="H90"/>
  <c r="I90"/>
  <c r="G90"/>
  <c r="E26" i="3" l="1"/>
  <c r="C42"/>
  <c r="D8"/>
  <c r="D42" s="1"/>
  <c r="C26" i="2"/>
  <c r="D26"/>
  <c r="F26"/>
  <c r="G26"/>
  <c r="H26"/>
  <c r="I26"/>
  <c r="C96" i="1"/>
  <c r="C94" s="1"/>
  <c r="D96"/>
  <c r="D94" s="1"/>
  <c r="C97"/>
  <c r="D97"/>
  <c r="C98"/>
  <c r="C23" i="2" s="1"/>
  <c r="D98" i="1"/>
  <c r="E26" i="2" l="1"/>
  <c r="C23" i="3"/>
  <c r="C25" i="2"/>
  <c r="C21" s="1"/>
  <c r="C16"/>
  <c r="D23" i="3"/>
  <c r="D16" i="2"/>
  <c r="D25"/>
  <c r="D23"/>
  <c r="C25" i="1"/>
  <c r="C90" s="1"/>
  <c r="D25"/>
  <c r="D90" s="1"/>
  <c r="C30"/>
  <c r="D30"/>
  <c r="C75"/>
  <c r="D75"/>
  <c r="D100" s="1"/>
  <c r="D91" s="1"/>
  <c r="D21" i="3" s="1"/>
  <c r="C26" l="1"/>
  <c r="C15" i="2"/>
  <c r="C25" i="3" s="1"/>
  <c r="D21" i="2"/>
  <c r="D26" i="3"/>
  <c r="D15" i="2"/>
  <c r="D25" i="3" s="1"/>
  <c r="D101" i="1"/>
  <c r="D92"/>
  <c r="C55"/>
  <c r="C100"/>
  <c r="D55"/>
  <c r="D44" i="3" l="1"/>
  <c r="D14" i="2"/>
  <c r="C101" i="1"/>
  <c r="C91"/>
  <c r="C92" l="1"/>
  <c r="C21" i="3"/>
  <c r="C44"/>
  <c r="C14" i="2"/>
  <c r="E77" i="1"/>
  <c r="E75" s="1"/>
  <c r="F101"/>
  <c r="F10" i="3"/>
  <c r="E10" s="1"/>
  <c r="G7" i="4"/>
  <c r="F7"/>
  <c r="I7"/>
  <c r="B18" i="5"/>
  <c r="H7" i="4" l="1"/>
  <c r="E9"/>
  <c r="E7" s="1"/>
  <c r="B10" i="5"/>
  <c r="C6"/>
  <c r="B6"/>
  <c r="G100" i="1" l="1"/>
  <c r="E25" i="2"/>
  <c r="I15"/>
  <c r="E16"/>
  <c r="F90" i="1"/>
  <c r="E51"/>
  <c r="E63"/>
  <c r="E15" i="2" l="1"/>
  <c r="C16" i="5"/>
  <c r="C10"/>
  <c r="G101" i="1"/>
  <c r="G91"/>
  <c r="E62"/>
  <c r="E50"/>
  <c r="E97"/>
  <c r="E23" i="3" s="1"/>
  <c r="E73" i="1"/>
  <c r="E64"/>
  <c r="E98" s="1"/>
  <c r="F91"/>
  <c r="G92" l="1"/>
  <c r="G21" i="3"/>
  <c r="F92" i="1"/>
  <c r="F21" i="3"/>
  <c r="H100" i="1"/>
  <c r="H101" s="1"/>
  <c r="E96"/>
  <c r="E90"/>
  <c r="E55"/>
  <c r="G8" i="3"/>
  <c r="G42" s="1"/>
  <c r="E94" i="1" l="1"/>
  <c r="C24" i="5"/>
  <c r="C18"/>
  <c r="G14" i="2"/>
  <c r="G44" i="3" s="1"/>
  <c r="G43"/>
  <c r="F44"/>
  <c r="E23" i="2"/>
  <c r="E21" s="1"/>
  <c r="I21"/>
  <c r="I25" i="3" s="1"/>
  <c r="E25" s="1"/>
  <c r="H8" i="2" l="1"/>
  <c r="H43" i="3" s="1"/>
  <c r="E30" i="1"/>
  <c r="E100" l="1"/>
  <c r="E91" s="1"/>
  <c r="H91"/>
  <c r="I91"/>
  <c r="I92" l="1"/>
  <c r="I21" i="3"/>
  <c r="H92" i="1"/>
  <c r="H14" i="2" s="1"/>
  <c r="H21" i="3"/>
  <c r="E101" i="1"/>
  <c r="F8" i="3"/>
  <c r="E21" l="1"/>
  <c r="I44"/>
  <c r="H44"/>
  <c r="F42"/>
  <c r="I13"/>
  <c r="E44" l="1"/>
  <c r="I8"/>
  <c r="E13"/>
  <c r="E8" i="2"/>
  <c r="I43" i="3"/>
  <c r="E43" s="1"/>
  <c r="E14" i="2"/>
  <c r="I42" i="3" l="1"/>
  <c r="E42" s="1"/>
  <c r="E8"/>
</calcChain>
</file>

<file path=xl/sharedStrings.xml><?xml version="1.0" encoding="utf-8"?>
<sst xmlns="http://schemas.openxmlformats.org/spreadsheetml/2006/main" count="282" uniqueCount="205">
  <si>
    <t>Коди</t>
  </si>
  <si>
    <t>Підприємство</t>
  </si>
  <si>
    <t>За ЄДРПОУ</t>
  </si>
  <si>
    <t>Орган управління</t>
  </si>
  <si>
    <t>За СПОДУ</t>
  </si>
  <si>
    <t>Галузь</t>
  </si>
  <si>
    <t>За ЗКНГ</t>
  </si>
  <si>
    <t>Вид економічної діяльності</t>
  </si>
  <si>
    <t>За КВЕД</t>
  </si>
  <si>
    <t>Місцезнаходження</t>
  </si>
  <si>
    <t>За КОАТУУ</t>
  </si>
  <si>
    <t>Телефон</t>
  </si>
  <si>
    <t>Директор</t>
  </si>
  <si>
    <t>Таблиця 1</t>
  </si>
  <si>
    <t>І. Формування фінансових результатів</t>
  </si>
  <si>
    <t>Найменування показника</t>
  </si>
  <si>
    <t>Доходи і витрати (деталізація)</t>
  </si>
  <si>
    <t>Чистий дохід від реалізації продукції (товарів, робіт, послуг)</t>
  </si>
  <si>
    <t>Кошти місцевого бюджету</t>
  </si>
  <si>
    <t>Кошти обласного бюджету</t>
  </si>
  <si>
    <t>Кошти НСЗУ</t>
  </si>
  <si>
    <t>Інші доходи</t>
  </si>
  <si>
    <t>Собівартість реалізованої продукції (товарів, робіт, послуг)</t>
  </si>
  <si>
    <t>Витрати на сировину та основні матеріали</t>
  </si>
  <si>
    <t>Витрати на паливно-мастильні матеріали</t>
  </si>
  <si>
    <t>Витрати на електроенергію</t>
  </si>
  <si>
    <t>Витрати на оплату праці</t>
  </si>
  <si>
    <t>Відрахування на соціальні заходи</t>
  </si>
  <si>
    <t>Витрати, що здійснюються для підтримання об’єкта в робочому стані (проведення ремонту, технічного огляду, нагляду, обслуговування тощо)</t>
  </si>
  <si>
    <t>Амортизація основних засобів і нематеріальних активів</t>
  </si>
  <si>
    <t>Інші витрати (розшифрувати)</t>
  </si>
  <si>
    <t>Витрати на теплопостачання</t>
  </si>
  <si>
    <t>Витрати на водопостачання</t>
  </si>
  <si>
    <t>Витрати на газ</t>
  </si>
  <si>
    <t>Витрати на тверде паливо</t>
  </si>
  <si>
    <t>Витрати на матеріали, обладнання та інвентар</t>
  </si>
  <si>
    <t>Витрати на медикаменти та перев’язувальні матеріали</t>
  </si>
  <si>
    <t>Витрати на продукти харчування</t>
  </si>
  <si>
    <t>Витрати на виплату пенсій</t>
  </si>
  <si>
    <t>Витрати на страхування</t>
  </si>
  <si>
    <t>Плата за держ. реєстрацію джерел іонізуючого випромінювання. Екологічний податок,земельний податок</t>
  </si>
  <si>
    <t>Витрати на службові відрядження</t>
  </si>
  <si>
    <t>Витрати на навчання курси</t>
  </si>
  <si>
    <t>Витрати за вивіз сміття</t>
  </si>
  <si>
    <t>Витрати на придбання медичного обладнання</t>
  </si>
  <si>
    <t>Витрати на виготовлення технічної документації</t>
  </si>
  <si>
    <t>Оплата послуг (крім комунальних)</t>
  </si>
  <si>
    <t>Адміністративні витрати, у тому числі:</t>
  </si>
  <si>
    <t>витрати, пов’язані з використанням власних службових автомобілів</t>
  </si>
  <si>
    <t>витрати на оренду службових автомобілів</t>
  </si>
  <si>
    <t>витрати на консалтингові послуги</t>
  </si>
  <si>
    <t>витрати на страхові послуги</t>
  </si>
  <si>
    <t>витрати на аудиторські послуги</t>
  </si>
  <si>
    <t>витрати на службові відрядження</t>
  </si>
  <si>
    <t>витрати на зв'язок</t>
  </si>
  <si>
    <t>витрати на оплату праці</t>
  </si>
  <si>
    <t>відрахування на соціальні заходи</t>
  </si>
  <si>
    <t>амортизація основних засобів і нематеріальних активів загальногосподарського призначення</t>
  </si>
  <si>
    <t>витрати на операційну оренду основних засобів та роялті, що мають загальногосподарське призначення</t>
  </si>
  <si>
    <t>витрати на страхування загальногосподарського персоналу</t>
  </si>
  <si>
    <t>організаційно-технічні послуги</t>
  </si>
  <si>
    <t>консультаційні та інформаційні послуги</t>
  </si>
  <si>
    <t>юридичні послуги</t>
  </si>
  <si>
    <t>послуги з оцінки майна</t>
  </si>
  <si>
    <t>витрати на охорону праці загальногосподарського персоналу</t>
  </si>
  <si>
    <t>витрати на підвищення кваліфікації та перепідготовку кадрів</t>
  </si>
  <si>
    <t>витрати на утримання основних фондів, інших необоротних активів загальногосподарського використання, у тому числі:</t>
  </si>
  <si>
    <t>витрати на поліпшення основних фондів</t>
  </si>
  <si>
    <t>інші адміністративні витрати (розшифрувати)</t>
  </si>
  <si>
    <t>Витрати на збут, у тому числі:</t>
  </si>
  <si>
    <t>транспортні витрати</t>
  </si>
  <si>
    <t>витрати на зберігання та упаковку</t>
  </si>
  <si>
    <t>амортизація основних засобів  і нематеріальних активів</t>
  </si>
  <si>
    <t>витрати на рекламу</t>
  </si>
  <si>
    <t>інші витрати на збут (розшифрувати)</t>
  </si>
  <si>
    <t>Інші операційні доходи (розшифрувати)</t>
  </si>
  <si>
    <t>інші операційні витрати (розшифрувати)</t>
  </si>
  <si>
    <t>Інші доходи (розшифрувати)</t>
  </si>
  <si>
    <t>Усього доходів</t>
  </si>
  <si>
    <t>Усього витрат</t>
  </si>
  <si>
    <t>Нерозподілені доходи</t>
  </si>
  <si>
    <t>Елементи операційних витрат</t>
  </si>
  <si>
    <t>витрати на сировину та основні матеріали</t>
  </si>
  <si>
    <t>Амортизація</t>
  </si>
  <si>
    <t>Інші операційні витрати</t>
  </si>
  <si>
    <t>Усього</t>
  </si>
  <si>
    <t>(посада)</t>
  </si>
  <si>
    <t>(підпис)</t>
  </si>
  <si>
    <t>(прізвище, ініціали)</t>
  </si>
  <si>
    <t>Код рядка</t>
  </si>
  <si>
    <t>Таблиця 2</t>
  </si>
  <si>
    <t>II. Розрахунки з бюджетом</t>
  </si>
  <si>
    <t xml:space="preserve"> Розподіл нерозподіленого доходу</t>
  </si>
  <si>
    <t>Залишок нерозподіленого доходу на початок звітного періоду, усього, у тому числі:</t>
  </si>
  <si>
    <t>Спрямування нерозподіленого доходу, усього, у тому числі:</t>
  </si>
  <si>
    <t>Розвиток статутної діяльності</t>
  </si>
  <si>
    <t>у тому числі за основними видами діяльності за КВЕД</t>
  </si>
  <si>
    <t>Резервний фонд</t>
  </si>
  <si>
    <t>Залишок нерозподіленого доходу на кінець звітного періоду</t>
  </si>
  <si>
    <t>Сплата податків та зборів до місцевих бюджетів (податкові платежі), усього, у тому числі:</t>
  </si>
  <si>
    <t>податок на доходи фізичних осіб (18%)</t>
  </si>
  <si>
    <t>земельний податок</t>
  </si>
  <si>
    <t>орендна плата</t>
  </si>
  <si>
    <t>інші податки та збори (розшифрувати)</t>
  </si>
  <si>
    <t>Екологічний податок</t>
  </si>
  <si>
    <t>Інші податки, збори та платежі на користь держави, усього, у тому числі:</t>
  </si>
  <si>
    <t>митні платежі</t>
  </si>
  <si>
    <t>єдиний внесок на загальнообов'язкове державне соціальне страхування 22%</t>
  </si>
  <si>
    <t>інші податки, збори та платежі (розшифрувати)</t>
  </si>
  <si>
    <t>Військовий збір 1,5%</t>
  </si>
  <si>
    <t>Погашення податкового боргу, усього, у тому числі:</t>
  </si>
  <si>
    <t>погашення реструктуризованих та відстрочених сум, що підлягають сплаті в поточному році до бюджетів та державних цільових фондів</t>
  </si>
  <si>
    <t>інші (штрафи, пені, неустойки) (розшифрувати)</t>
  </si>
  <si>
    <t>III. Рух грошових коштів</t>
  </si>
  <si>
    <t>І. Рух коштів у результаті операційної діяльності</t>
  </si>
  <si>
    <t>Надходження грошових коштів від операційної діяльності</t>
  </si>
  <si>
    <t>Виручка від реалізації продукції (товарів, робіт, послуг)</t>
  </si>
  <si>
    <t>Повернення податків і зборів, у тому числі:</t>
  </si>
  <si>
    <t>податку на додану вартість</t>
  </si>
  <si>
    <t>Цільове фінансування (розшифрувати)</t>
  </si>
  <si>
    <t>Надходження авансів від покупців і замовників</t>
  </si>
  <si>
    <t>Отримання коштів за короткостроковими зобов'язаннями</t>
  </si>
  <si>
    <t>Інші надходження (розшифрувати)</t>
  </si>
  <si>
    <t>Від отриманих благодійних внесків грантів та дарунків</t>
  </si>
  <si>
    <t>Видатки грошових коштів від операційної діяльності</t>
  </si>
  <si>
    <t>Розрахунки за продукцію (товари, роботи та послуги)</t>
  </si>
  <si>
    <t>Розрахунки з оплати праці</t>
  </si>
  <si>
    <t>Повернення коштів за короткостроковими зобов'язаннями</t>
  </si>
  <si>
    <t>Зобов’язання з податків, зборів та інших обов’язкових платежів, у тому числі:</t>
  </si>
  <si>
    <t>інші платежі (розшифрувати)</t>
  </si>
  <si>
    <t>Повернення коштів до бюджету</t>
  </si>
  <si>
    <t>Чистий рух коштів від операційної діяльності</t>
  </si>
  <si>
    <t>II. Рух коштів у результаті інвестиційної діяльності</t>
  </si>
  <si>
    <t>Надходження грошових коштів від інвестиційної діяльності</t>
  </si>
  <si>
    <t>Виручка від реалізації необоротних активів</t>
  </si>
  <si>
    <t>Видатки грошових коштів від інвестиційної діяльності</t>
  </si>
  <si>
    <t>Придбання (створення) основних засобів (розшифрувати)</t>
  </si>
  <si>
    <t>Придбання (створення) нематеріальних активів (розшифрувати)</t>
  </si>
  <si>
    <t>модернізація, модифікація (добудова, дообладнання, реконструкція) основних засобів</t>
  </si>
  <si>
    <t>капітальний ремонт</t>
  </si>
  <si>
    <t>Чистий рух коштів від інвестиційної діяльності</t>
  </si>
  <si>
    <t>Чистий грошовий потік</t>
  </si>
  <si>
    <t>Залишок коштів на початок періоду</t>
  </si>
  <si>
    <t>Залишок коштів на кінець періоду</t>
  </si>
  <si>
    <t>Таблиця 4</t>
  </si>
  <si>
    <t>IV. Капітальні інвестиції</t>
  </si>
  <si>
    <t>Капітальні інвестиції, усього, у тому числі:</t>
  </si>
  <si>
    <t>капітальне будівництво</t>
  </si>
  <si>
    <t>придбання (виготовлення) основних засобів</t>
  </si>
  <si>
    <t>придбання (виготовлення) інших необоротних матеріальних активів</t>
  </si>
  <si>
    <t>придбання (створення) нематеріальних активів</t>
  </si>
  <si>
    <t>Таблиця 5</t>
  </si>
  <si>
    <t>V. Дані про персонал та витрати на оплату праці</t>
  </si>
  <si>
    <t>директор</t>
  </si>
  <si>
    <t>адміністративно-управлінський персонал</t>
  </si>
  <si>
    <t>працівники</t>
  </si>
  <si>
    <t>Фонд оплати праці, тис. гри, у тому числі:</t>
  </si>
  <si>
    <t>Середньомісячна заробітна плата одного працівника (грн), усього, у тому числі:</t>
  </si>
  <si>
    <t>Витрати на оплату праці, тис. грн, у тому числі:</t>
  </si>
  <si>
    <t>Середньомісячні витрати на оплату праці одного працівника (грн), усього, у тому числі:</t>
  </si>
  <si>
    <t>Відділ охорони здоров'я Малинської міської ради</t>
  </si>
  <si>
    <t>витрати на страхування майна загальногосподарського призначення</t>
  </si>
  <si>
    <t>(ПІБ)</t>
  </si>
  <si>
    <t>(посада)                                             (підпис)</t>
  </si>
  <si>
    <t>Матеріальні витрати, у тому числі(202+206+213+214+301+1002):</t>
  </si>
  <si>
    <t>витрати на комунальні послуги(203+209-212+221)</t>
  </si>
  <si>
    <t>придбання та супровід програмного забезпечення, обсл оргтехніки</t>
  </si>
  <si>
    <t>214+цільові програми</t>
  </si>
  <si>
    <t>322+</t>
  </si>
  <si>
    <t>202+ пмм з цільових програм</t>
  </si>
  <si>
    <t>224+ періодичні видання, обслуговування сайтів, електронні ключі</t>
  </si>
  <si>
    <t>213+ господарчі та канцелярія та дрібне компютерне обладнання</t>
  </si>
  <si>
    <t>капітальні видатки таблиця 4</t>
  </si>
  <si>
    <t>__-ї сесії _____________ скликання</t>
  </si>
  <si>
    <t>Додаток 1</t>
  </si>
  <si>
    <t>від ___.___.2023р. № _____</t>
  </si>
  <si>
    <t xml:space="preserve">до рішення Малинської міської ради </t>
  </si>
  <si>
    <t>У тому числі за кварталами</t>
  </si>
  <si>
    <t>І</t>
  </si>
  <si>
    <t>II</t>
  </si>
  <si>
    <t>III</t>
  </si>
  <si>
    <t>IV</t>
  </si>
  <si>
    <t>ФІНАНСОВИЙ ПЛАН</t>
  </si>
  <si>
    <t>Фінансовий план поточного року</t>
  </si>
  <si>
    <t>Факт минулого року</t>
  </si>
  <si>
    <t>Плановий рік (усього)</t>
  </si>
  <si>
    <t>Таблиця 3</t>
  </si>
  <si>
    <t>Плановий рік</t>
  </si>
  <si>
    <t>(страхові розділи авто сюди, мед. в п217</t>
  </si>
  <si>
    <t>страхування працівників</t>
  </si>
  <si>
    <t>нерозділено на курси</t>
  </si>
  <si>
    <t xml:space="preserve"> </t>
  </si>
  <si>
    <r>
      <t xml:space="preserve">Середня кількість працівників </t>
    </r>
    <r>
      <rPr>
        <sz val="12"/>
        <rFont val="Times New Roman"/>
        <family val="1"/>
        <charset val="204"/>
      </rPr>
      <t xml:space="preserve">(штатних працівників, зовнішніх сумісників та працівників, що працюють за цивільно- правовими договорами), </t>
    </r>
    <r>
      <rPr>
        <b/>
        <sz val="12"/>
        <rFont val="Times New Roman"/>
        <family val="1"/>
        <charset val="204"/>
      </rPr>
      <t>у тому числі:</t>
    </r>
  </si>
  <si>
    <t>податок на доходи фізичних осіб(18%)</t>
  </si>
  <si>
    <t>Інші витрати (медичне обладнання та ін)</t>
  </si>
  <si>
    <t>Комунальне некомерційне підприємство "Малинська міська лікарня" Малинської міської ради</t>
  </si>
  <si>
    <t>01991783</t>
  </si>
  <si>
    <t>86.10</t>
  </si>
  <si>
    <t>Охорона здоров'я</t>
  </si>
  <si>
    <t>Житомирська обл., Коростенський р-н, м.Малин, вул. Г.Бондарик, 17</t>
  </si>
  <si>
    <t>Володимир ДОЛОТ</t>
  </si>
  <si>
    <t>Діяльність лікарняних закладів</t>
  </si>
  <si>
    <t>на 2023 рік</t>
  </si>
  <si>
    <t>Інші цілі (зар.плата)</t>
  </si>
  <si>
    <t>КОМУНАЛЬНОГО НЕКОМЕРЦІЙНОГО ПІДПРИЄМСТВА "МАЛИНСЬКА МІСЬКА ЛІКАРНЯ" МАЛИНСЬКОЇ МІСЬКОЇ РАДИ</t>
  </si>
</sst>
</file>

<file path=xl/styles.xml><?xml version="1.0" encoding="utf-8"?>
<styleSheet xmlns="http://schemas.openxmlformats.org/spreadsheetml/2006/main">
  <numFmts count="1">
    <numFmt numFmtId="164" formatCode="0.0"/>
  </numFmts>
  <fonts count="17"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6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Calibri"/>
      <family val="2"/>
      <scheme val="minor"/>
    </font>
    <font>
      <b/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2"/>
      <name val="Calibri"/>
      <family val="2"/>
      <scheme val="minor"/>
    </font>
    <font>
      <sz val="12"/>
      <color theme="1" tint="4.9989318521683403E-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108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0" xfId="0" applyFont="1"/>
    <xf numFmtId="0" fontId="2" fillId="0" borderId="3" xfId="0" applyFont="1" applyBorder="1" applyAlignment="1">
      <alignment vertical="center" wrapText="1"/>
    </xf>
    <xf numFmtId="0" fontId="2" fillId="0" borderId="0" xfId="0" applyFont="1" applyAlignment="1">
      <alignment horizontal="center"/>
    </xf>
    <xf numFmtId="0" fontId="1" fillId="0" borderId="3" xfId="0" applyFont="1" applyBorder="1" applyAlignment="1">
      <alignment vertical="center"/>
    </xf>
    <xf numFmtId="0" fontId="1" fillId="0" borderId="3" xfId="0" applyFont="1" applyBorder="1" applyAlignment="1">
      <alignment vertical="center" wrapText="1"/>
    </xf>
    <xf numFmtId="0" fontId="1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vertical="center" wrapText="1"/>
    </xf>
    <xf numFmtId="0" fontId="1" fillId="0" borderId="0" xfId="0" applyFont="1" applyAlignment="1">
      <alignment vertical="center" wrapText="1"/>
    </xf>
    <xf numFmtId="0" fontId="1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164" fontId="1" fillId="0" borderId="3" xfId="0" applyNumberFormat="1" applyFont="1" applyBorder="1" applyAlignment="1">
      <alignment horizontal="right" vertical="center" wrapText="1"/>
    </xf>
    <xf numFmtId="164" fontId="2" fillId="0" borderId="3" xfId="0" applyNumberFormat="1" applyFont="1" applyBorder="1" applyAlignment="1">
      <alignment horizontal="right" vertical="center" wrapText="1"/>
    </xf>
    <xf numFmtId="164" fontId="1" fillId="0" borderId="3" xfId="0" applyNumberFormat="1" applyFont="1" applyBorder="1" applyAlignment="1">
      <alignment vertical="center" wrapText="1"/>
    </xf>
    <xf numFmtId="0" fontId="1" fillId="0" borderId="0" xfId="0" applyFont="1"/>
    <xf numFmtId="0" fontId="2" fillId="0" borderId="9" xfId="0" applyFont="1" applyBorder="1"/>
    <xf numFmtId="0" fontId="2" fillId="0" borderId="7" xfId="0" applyFont="1" applyBorder="1"/>
    <xf numFmtId="0" fontId="2" fillId="0" borderId="1" xfId="0" applyFont="1" applyBorder="1" applyAlignment="1">
      <alignment vertical="center" wrapText="1"/>
    </xf>
    <xf numFmtId="0" fontId="2" fillId="0" borderId="3" xfId="0" applyFont="1" applyBorder="1" applyAlignment="1">
      <alignment horizontal="center" vertical="center" wrapText="1"/>
    </xf>
    <xf numFmtId="0" fontId="4" fillId="0" borderId="0" xfId="0" applyFont="1"/>
    <xf numFmtId="0" fontId="4" fillId="0" borderId="0" xfId="0" applyFont="1" applyAlignment="1">
      <alignment horizontal="right" vertical="center"/>
    </xf>
    <xf numFmtId="0" fontId="4" fillId="0" borderId="0" xfId="0" applyFont="1" applyAlignment="1">
      <alignment vertical="center" wrapText="1"/>
    </xf>
    <xf numFmtId="164" fontId="4" fillId="2" borderId="3" xfId="0" applyNumberFormat="1" applyFont="1" applyFill="1" applyBorder="1" applyAlignment="1">
      <alignment horizontal="center" vertical="center" wrapText="1"/>
    </xf>
    <xf numFmtId="164" fontId="4" fillId="2" borderId="3" xfId="0" applyNumberFormat="1" applyFont="1" applyFill="1" applyBorder="1" applyAlignment="1">
      <alignment vertical="center" wrapText="1"/>
    </xf>
    <xf numFmtId="164" fontId="6" fillId="2" borderId="3" xfId="0" applyNumberFormat="1" applyFont="1" applyFill="1" applyBorder="1" applyAlignment="1">
      <alignment horizontal="center" vertical="center" wrapText="1"/>
    </xf>
    <xf numFmtId="164" fontId="2" fillId="0" borderId="3" xfId="0" applyNumberFormat="1" applyFont="1" applyBorder="1" applyAlignment="1">
      <alignment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8" fillId="0" borderId="2" xfId="0" applyFont="1" applyBorder="1" applyAlignment="1">
      <alignment vertical="center" wrapText="1"/>
    </xf>
    <xf numFmtId="0" fontId="9" fillId="0" borderId="0" xfId="0" applyFont="1" applyAlignment="1">
      <alignment horizontal="center" vertical="center" wrapText="1"/>
    </xf>
    <xf numFmtId="0" fontId="4" fillId="0" borderId="3" xfId="0" applyFont="1" applyBorder="1" applyAlignment="1">
      <alignment vertical="center" wrapText="1"/>
    </xf>
    <xf numFmtId="164" fontId="4" fillId="0" borderId="3" xfId="0" applyNumberFormat="1" applyFont="1" applyBorder="1" applyAlignment="1">
      <alignment horizontal="right" vertical="center" wrapText="1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right" vertical="center" wrapText="1"/>
    </xf>
    <xf numFmtId="0" fontId="9" fillId="0" borderId="0" xfId="0" applyFont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left" vertical="center" wrapText="1"/>
    </xf>
    <xf numFmtId="0" fontId="3" fillId="2" borderId="3" xfId="0" applyFont="1" applyFill="1" applyBorder="1" applyAlignment="1">
      <alignment horizontal="left" vertical="center" wrapText="1"/>
    </xf>
    <xf numFmtId="164" fontId="2" fillId="2" borderId="3" xfId="0" applyNumberFormat="1" applyFont="1" applyFill="1" applyBorder="1" applyAlignment="1">
      <alignment horizontal="center" vertical="center" wrapText="1"/>
    </xf>
    <xf numFmtId="164" fontId="2" fillId="2" borderId="3" xfId="0" applyNumberFormat="1" applyFont="1" applyFill="1" applyBorder="1" applyAlignment="1">
      <alignment vertical="center" wrapText="1"/>
    </xf>
    <xf numFmtId="0" fontId="8" fillId="0" borderId="0" xfId="0" applyFont="1" applyAlignment="1">
      <alignment horizontal="right" vertical="center"/>
    </xf>
    <xf numFmtId="0" fontId="10" fillId="0" borderId="0" xfId="0" applyFont="1"/>
    <xf numFmtId="0" fontId="12" fillId="0" borderId="0" xfId="0" applyFont="1" applyAlignment="1">
      <alignment horizontal="center" vertical="center"/>
    </xf>
    <xf numFmtId="0" fontId="13" fillId="2" borderId="3" xfId="0" applyFont="1" applyFill="1" applyBorder="1" applyAlignment="1">
      <alignment horizontal="left" vertical="center" wrapText="1"/>
    </xf>
    <xf numFmtId="0" fontId="13" fillId="2" borderId="3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left" vertical="center" wrapText="1"/>
    </xf>
    <xf numFmtId="0" fontId="12" fillId="0" borderId="0" xfId="0" applyFont="1" applyAlignment="1">
      <alignment vertical="center"/>
    </xf>
    <xf numFmtId="0" fontId="14" fillId="0" borderId="0" xfId="0" applyFont="1" applyAlignment="1">
      <alignment horizontal="right" vertical="center"/>
    </xf>
    <xf numFmtId="0" fontId="14" fillId="0" borderId="0" xfId="0" applyFont="1" applyAlignment="1">
      <alignment horizontal="center" vertical="center"/>
    </xf>
    <xf numFmtId="0" fontId="2" fillId="2" borderId="0" xfId="0" applyFont="1" applyFill="1" applyAlignment="1">
      <alignment horizontal="left" vertical="center" wrapText="1"/>
    </xf>
    <xf numFmtId="0" fontId="14" fillId="0" borderId="0" xfId="0" applyFont="1" applyAlignment="1">
      <alignment vertical="center"/>
    </xf>
    <xf numFmtId="0" fontId="15" fillId="0" borderId="0" xfId="0" applyFont="1"/>
    <xf numFmtId="2" fontId="2" fillId="2" borderId="0" xfId="0" applyNumberFormat="1" applyFont="1" applyFill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164" fontId="4" fillId="0" borderId="3" xfId="0" applyNumberFormat="1" applyFont="1" applyBorder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2" fillId="0" borderId="3" xfId="0" applyFont="1" applyBorder="1" applyAlignment="1">
      <alignment vertical="center"/>
    </xf>
    <xf numFmtId="0" fontId="2" fillId="0" borderId="3" xfId="0" applyFont="1" applyBorder="1"/>
    <xf numFmtId="0" fontId="2" fillId="0" borderId="4" xfId="0" applyFont="1" applyBorder="1"/>
    <xf numFmtId="164" fontId="1" fillId="0" borderId="10" xfId="0" applyNumberFormat="1" applyFont="1" applyBorder="1" applyAlignment="1">
      <alignment horizontal="right" vertical="center" wrapText="1"/>
    </xf>
    <xf numFmtId="164" fontId="1" fillId="2" borderId="3" xfId="0" applyNumberFormat="1" applyFont="1" applyFill="1" applyBorder="1" applyAlignment="1">
      <alignment horizontal="center" vertical="center" wrapText="1"/>
    </xf>
    <xf numFmtId="164" fontId="13" fillId="2" borderId="3" xfId="0" applyNumberFormat="1" applyFont="1" applyFill="1" applyBorder="1" applyAlignment="1">
      <alignment vertical="center" wrapText="1"/>
    </xf>
    <xf numFmtId="164" fontId="7" fillId="2" borderId="3" xfId="0" applyNumberFormat="1" applyFont="1" applyFill="1" applyBorder="1" applyAlignment="1">
      <alignment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164" fontId="2" fillId="3" borderId="3" xfId="0" applyNumberFormat="1" applyFont="1" applyFill="1" applyBorder="1" applyAlignment="1">
      <alignment vertical="center" wrapText="1"/>
    </xf>
    <xf numFmtId="164" fontId="4" fillId="3" borderId="3" xfId="0" applyNumberFormat="1" applyFont="1" applyFill="1" applyBorder="1" applyAlignment="1">
      <alignment vertical="center" wrapText="1"/>
    </xf>
    <xf numFmtId="2" fontId="2" fillId="0" borderId="3" xfId="0" applyNumberFormat="1" applyFont="1" applyBorder="1" applyAlignment="1">
      <alignment horizontal="center" vertical="center" wrapText="1"/>
    </xf>
    <xf numFmtId="2" fontId="1" fillId="0" borderId="3" xfId="0" applyNumberFormat="1" applyFont="1" applyBorder="1" applyAlignment="1">
      <alignment horizontal="center" vertical="center" wrapText="1"/>
    </xf>
    <xf numFmtId="0" fontId="2" fillId="3" borderId="3" xfId="0" applyFont="1" applyFill="1" applyBorder="1" applyAlignment="1">
      <alignment vertical="center" wrapText="1"/>
    </xf>
    <xf numFmtId="164" fontId="16" fillId="0" borderId="3" xfId="0" applyNumberFormat="1" applyFont="1" applyBorder="1" applyAlignment="1">
      <alignment vertical="center" wrapText="1"/>
    </xf>
    <xf numFmtId="164" fontId="16" fillId="0" borderId="3" xfId="0" applyNumberFormat="1" applyFont="1" applyBorder="1" applyAlignment="1">
      <alignment horizontal="right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left" vertical="center" wrapText="1"/>
    </xf>
    <xf numFmtId="164" fontId="2" fillId="3" borderId="3" xfId="0" applyNumberFormat="1" applyFont="1" applyFill="1" applyBorder="1" applyAlignment="1">
      <alignment horizontal="righ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3" xfId="0" applyFont="1" applyBorder="1" applyAlignment="1">
      <alignment horizontal="left"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105"/>
  <sheetViews>
    <sheetView tabSelected="1" view="pageBreakPreview" topLeftCell="A7" zoomScale="130" zoomScaleNormal="120" zoomScaleSheetLayoutView="130" workbookViewId="0">
      <selection activeCell="A16" sqref="A16:I16"/>
    </sheetView>
  </sheetViews>
  <sheetFormatPr defaultColWidth="8.85546875" defaultRowHeight="15.75"/>
  <cols>
    <col min="1" max="1" width="49.5703125" style="2" customWidth="1"/>
    <col min="2" max="2" width="8.28515625" style="4" customWidth="1"/>
    <col min="3" max="3" width="15.28515625" style="2" customWidth="1"/>
    <col min="4" max="4" width="17" style="2" customWidth="1"/>
    <col min="5" max="5" width="12.85546875" style="2" customWidth="1"/>
    <col min="6" max="6" width="10.28515625" style="25" customWidth="1"/>
    <col min="7" max="7" width="8.85546875" style="25"/>
    <col min="8" max="8" width="8.85546875" style="25" customWidth="1"/>
    <col min="9" max="9" width="12.7109375" style="25" customWidth="1"/>
    <col min="10" max="10" width="9.85546875" style="2" bestFit="1" customWidth="1"/>
    <col min="11" max="16384" width="8.85546875" style="2"/>
  </cols>
  <sheetData>
    <row r="1" spans="1:10" s="16" customFormat="1" ht="16.899999999999999" customHeight="1">
      <c r="B1" s="15"/>
      <c r="C1" s="15"/>
      <c r="E1" s="8"/>
      <c r="F1" s="8"/>
      <c r="G1" s="33"/>
      <c r="H1" s="33"/>
      <c r="I1" s="38" t="s">
        <v>174</v>
      </c>
    </row>
    <row r="2" spans="1:10" s="16" customFormat="1" ht="15.6" customHeight="1">
      <c r="E2" s="95" t="s">
        <v>176</v>
      </c>
      <c r="F2" s="95"/>
      <c r="G2" s="95"/>
      <c r="H2" s="95"/>
      <c r="I2" s="95"/>
    </row>
    <row r="3" spans="1:10" s="16" customFormat="1" ht="15" customHeight="1">
      <c r="E3" s="95" t="s">
        <v>173</v>
      </c>
      <c r="F3" s="95"/>
      <c r="G3" s="95"/>
      <c r="H3" s="95"/>
      <c r="I3" s="95"/>
    </row>
    <row r="4" spans="1:10" s="16" customFormat="1" ht="15" customHeight="1">
      <c r="B4" s="15"/>
      <c r="E4" s="8"/>
      <c r="F4" s="95" t="s">
        <v>175</v>
      </c>
      <c r="G4" s="95"/>
      <c r="H4" s="95"/>
      <c r="I4" s="95"/>
    </row>
    <row r="5" spans="1:10">
      <c r="B5" s="2"/>
    </row>
    <row r="6" spans="1:10">
      <c r="A6" s="22"/>
      <c r="B6" s="21"/>
      <c r="C6" s="21"/>
      <c r="D6" s="21"/>
      <c r="E6" s="21"/>
      <c r="F6" s="21"/>
      <c r="G6" s="92" t="s">
        <v>0</v>
      </c>
      <c r="H6" s="92"/>
      <c r="I6" s="93"/>
    </row>
    <row r="7" spans="1:10" ht="33" customHeight="1">
      <c r="A7" s="5" t="s">
        <v>1</v>
      </c>
      <c r="B7" s="86" t="s">
        <v>195</v>
      </c>
      <c r="C7" s="87"/>
      <c r="D7" s="87"/>
      <c r="E7" s="87"/>
      <c r="F7" s="88"/>
      <c r="G7" s="94" t="s">
        <v>2</v>
      </c>
      <c r="H7" s="94"/>
      <c r="I7" s="72" t="s">
        <v>196</v>
      </c>
    </row>
    <row r="8" spans="1:10" ht="24.6" customHeight="1">
      <c r="A8" s="5" t="s">
        <v>3</v>
      </c>
      <c r="B8" s="86" t="s">
        <v>160</v>
      </c>
      <c r="C8" s="87"/>
      <c r="D8" s="87"/>
      <c r="E8" s="87"/>
      <c r="F8" s="88"/>
      <c r="G8" s="94" t="s">
        <v>4</v>
      </c>
      <c r="H8" s="94"/>
      <c r="I8" s="73"/>
    </row>
    <row r="9" spans="1:10" ht="15.6" customHeight="1">
      <c r="A9" s="5" t="s">
        <v>5</v>
      </c>
      <c r="B9" s="86" t="s">
        <v>198</v>
      </c>
      <c r="C9" s="87"/>
      <c r="D9" s="87"/>
      <c r="E9" s="87"/>
      <c r="F9" s="88"/>
      <c r="G9" s="94" t="s">
        <v>6</v>
      </c>
      <c r="H9" s="94"/>
      <c r="I9" s="74"/>
    </row>
    <row r="10" spans="1:10" ht="18" customHeight="1">
      <c r="A10" s="6" t="s">
        <v>7</v>
      </c>
      <c r="B10" s="86" t="s">
        <v>201</v>
      </c>
      <c r="C10" s="87"/>
      <c r="D10" s="87"/>
      <c r="E10" s="87"/>
      <c r="F10" s="88"/>
      <c r="G10" s="94" t="s">
        <v>8</v>
      </c>
      <c r="H10" s="94"/>
      <c r="I10" s="74" t="s">
        <v>197</v>
      </c>
      <c r="J10" s="4"/>
    </row>
    <row r="11" spans="1:10" ht="27.6" customHeight="1">
      <c r="A11" s="5" t="s">
        <v>9</v>
      </c>
      <c r="B11" s="86" t="s">
        <v>199</v>
      </c>
      <c r="C11" s="87"/>
      <c r="D11" s="87"/>
      <c r="E11" s="87"/>
      <c r="F11" s="88"/>
      <c r="G11" s="94" t="s">
        <v>10</v>
      </c>
      <c r="H11" s="94"/>
      <c r="I11" s="75">
        <v>1810900000</v>
      </c>
    </row>
    <row r="12" spans="1:10" ht="13.9" customHeight="1">
      <c r="A12" s="5" t="s">
        <v>11</v>
      </c>
      <c r="B12" s="89"/>
      <c r="C12" s="90"/>
      <c r="D12" s="90"/>
      <c r="E12" s="90"/>
      <c r="F12" s="91"/>
      <c r="G12" s="5"/>
      <c r="H12" s="66"/>
      <c r="I12" s="74"/>
    </row>
    <row r="13" spans="1:10" ht="16.149999999999999" customHeight="1">
      <c r="A13" s="6" t="s">
        <v>12</v>
      </c>
      <c r="B13" s="86" t="s">
        <v>200</v>
      </c>
      <c r="C13" s="87"/>
      <c r="D13" s="87"/>
      <c r="E13" s="87"/>
      <c r="F13" s="88"/>
      <c r="G13" s="67"/>
      <c r="H13" s="67"/>
      <c r="I13" s="65"/>
    </row>
    <row r="14" spans="1:10">
      <c r="A14" s="7"/>
      <c r="F14" s="2"/>
      <c r="G14" s="62"/>
      <c r="H14" s="2"/>
      <c r="I14" s="2"/>
    </row>
    <row r="15" spans="1:10" ht="13.15" customHeight="1">
      <c r="A15" s="98" t="s">
        <v>182</v>
      </c>
      <c r="B15" s="98"/>
      <c r="C15" s="98"/>
      <c r="D15" s="98"/>
      <c r="E15" s="98"/>
      <c r="F15" s="98"/>
      <c r="G15" s="98"/>
      <c r="H15" s="98"/>
      <c r="I15" s="98"/>
    </row>
    <row r="16" spans="1:10" ht="32.450000000000003" customHeight="1">
      <c r="A16" s="100" t="s">
        <v>204</v>
      </c>
      <c r="B16" s="100"/>
      <c r="C16" s="100"/>
      <c r="D16" s="100"/>
      <c r="E16" s="100"/>
      <c r="F16" s="100"/>
      <c r="G16" s="100"/>
      <c r="H16" s="100"/>
      <c r="I16" s="100"/>
    </row>
    <row r="17" spans="1:12">
      <c r="A17" s="98" t="s">
        <v>202</v>
      </c>
      <c r="B17" s="98"/>
      <c r="C17" s="98"/>
      <c r="D17" s="98"/>
      <c r="E17" s="98"/>
      <c r="F17" s="98"/>
      <c r="G17" s="98"/>
      <c r="H17" s="98"/>
      <c r="I17" s="98"/>
    </row>
    <row r="18" spans="1:12">
      <c r="A18" s="8"/>
      <c r="F18" s="8"/>
      <c r="G18" s="1"/>
      <c r="H18" s="2"/>
      <c r="I18" s="8" t="s">
        <v>13</v>
      </c>
    </row>
    <row r="19" spans="1:12">
      <c r="A19" s="98" t="s">
        <v>14</v>
      </c>
      <c r="B19" s="98"/>
      <c r="C19" s="98"/>
      <c r="D19" s="98"/>
      <c r="E19" s="98"/>
      <c r="F19" s="98"/>
      <c r="G19" s="98"/>
      <c r="H19" s="98"/>
      <c r="I19" s="98"/>
    </row>
    <row r="20" spans="1:12">
      <c r="G20" s="27"/>
    </row>
    <row r="21" spans="1:12" s="4" customFormat="1" ht="26.45" customHeight="1">
      <c r="A21" s="97" t="s">
        <v>15</v>
      </c>
      <c r="B21" s="97" t="s">
        <v>89</v>
      </c>
      <c r="C21" s="97" t="s">
        <v>184</v>
      </c>
      <c r="D21" s="97" t="s">
        <v>183</v>
      </c>
      <c r="E21" s="97" t="s">
        <v>185</v>
      </c>
      <c r="F21" s="97" t="s">
        <v>177</v>
      </c>
      <c r="G21" s="97"/>
      <c r="H21" s="97"/>
      <c r="I21" s="97"/>
      <c r="J21" s="1"/>
    </row>
    <row r="22" spans="1:12" s="4" customFormat="1" ht="25.15" customHeight="1">
      <c r="A22" s="97"/>
      <c r="B22" s="97"/>
      <c r="C22" s="97"/>
      <c r="D22" s="97"/>
      <c r="E22" s="97"/>
      <c r="F22" s="32" t="s">
        <v>178</v>
      </c>
      <c r="G22" s="32" t="s">
        <v>179</v>
      </c>
      <c r="H22" s="32" t="s">
        <v>180</v>
      </c>
      <c r="I22" s="32" t="s">
        <v>181</v>
      </c>
      <c r="J22" s="1"/>
    </row>
    <row r="23" spans="1:12" s="4" customFormat="1">
      <c r="A23" s="32">
        <v>1</v>
      </c>
      <c r="B23" s="32">
        <v>2</v>
      </c>
      <c r="C23" s="32">
        <v>3</v>
      </c>
      <c r="D23" s="32">
        <v>4</v>
      </c>
      <c r="E23" s="32">
        <v>5</v>
      </c>
      <c r="F23" s="32">
        <v>6</v>
      </c>
      <c r="G23" s="32">
        <v>7</v>
      </c>
      <c r="H23" s="32">
        <v>8</v>
      </c>
      <c r="I23" s="32">
        <v>9</v>
      </c>
      <c r="J23" s="1"/>
    </row>
    <row r="24" spans="1:12">
      <c r="A24" s="6" t="s">
        <v>16</v>
      </c>
      <c r="B24" s="24"/>
      <c r="C24" s="24"/>
      <c r="D24" s="24"/>
      <c r="E24" s="24"/>
      <c r="F24" s="36"/>
      <c r="G24" s="36"/>
      <c r="H24" s="36"/>
      <c r="I24" s="36"/>
      <c r="J24" s="1"/>
    </row>
    <row r="25" spans="1:12" ht="30.6" customHeight="1">
      <c r="A25" s="6" t="s">
        <v>17</v>
      </c>
      <c r="B25" s="9">
        <v>100</v>
      </c>
      <c r="C25" s="17">
        <f>SUM(C26:C29)</f>
        <v>112137.09999999999</v>
      </c>
      <c r="D25" s="17">
        <f t="shared" ref="D25" si="0">SUM(D26:D29)</f>
        <v>97569.499999999985</v>
      </c>
      <c r="E25" s="17">
        <f>SUM(F25:I25)</f>
        <v>74841</v>
      </c>
      <c r="F25" s="19">
        <f>SUM(F26:F29)</f>
        <v>23562.5</v>
      </c>
      <c r="G25" s="19">
        <f t="shared" ref="G25:I25" si="1">SUM(G26:G29)</f>
        <v>16465.5</v>
      </c>
      <c r="H25" s="19">
        <f t="shared" si="1"/>
        <v>14694.2</v>
      </c>
      <c r="I25" s="19">
        <f t="shared" si="1"/>
        <v>20118.8</v>
      </c>
      <c r="J25" s="1"/>
    </row>
    <row r="26" spans="1:12">
      <c r="A26" s="10" t="s">
        <v>18</v>
      </c>
      <c r="B26" s="24">
        <v>101</v>
      </c>
      <c r="C26" s="18">
        <v>12156.2</v>
      </c>
      <c r="D26" s="18">
        <f>7685.4+4326.2</f>
        <v>12011.599999999999</v>
      </c>
      <c r="E26" s="18">
        <f t="shared" ref="E26:E77" si="2">SUM(F26:I26)</f>
        <v>16325.400000000001</v>
      </c>
      <c r="F26" s="31">
        <v>4961.6000000000004</v>
      </c>
      <c r="G26" s="3">
        <v>1382</v>
      </c>
      <c r="H26" s="3">
        <f>2139.5+182.6</f>
        <v>2322.1</v>
      </c>
      <c r="I26" s="18">
        <f>8024.8-66.4+100-398.7</f>
        <v>7659.7000000000007</v>
      </c>
      <c r="J26" s="1"/>
    </row>
    <row r="27" spans="1:12">
      <c r="A27" s="10" t="s">
        <v>19</v>
      </c>
      <c r="B27" s="24">
        <v>102</v>
      </c>
      <c r="C27" s="18">
        <v>4133.6000000000004</v>
      </c>
      <c r="D27" s="18"/>
      <c r="E27" s="18"/>
      <c r="F27" s="31"/>
      <c r="G27" s="63"/>
      <c r="H27" s="63"/>
      <c r="I27" s="18">
        <v>398.7</v>
      </c>
      <c r="J27" s="1"/>
    </row>
    <row r="28" spans="1:12">
      <c r="A28" s="10" t="s">
        <v>20</v>
      </c>
      <c r="B28" s="24">
        <v>103</v>
      </c>
      <c r="C28" s="18">
        <f>93022.4+207.5</f>
        <v>93229.9</v>
      </c>
      <c r="D28" s="18">
        <f>84162.2+224.5</f>
        <v>84386.7</v>
      </c>
      <c r="E28" s="18">
        <f t="shared" si="2"/>
        <v>56086.5</v>
      </c>
      <c r="F28" s="31">
        <v>17720.5</v>
      </c>
      <c r="G28" s="3">
        <v>14583.5</v>
      </c>
      <c r="H28" s="3">
        <v>12072.1</v>
      </c>
      <c r="I28" s="18">
        <f>14855.9-3145.5</f>
        <v>11710.4</v>
      </c>
      <c r="J28" s="1"/>
    </row>
    <row r="29" spans="1:12">
      <c r="A29" s="10" t="s">
        <v>21</v>
      </c>
      <c r="B29" s="24">
        <v>104</v>
      </c>
      <c r="C29" s="18">
        <v>2617.4</v>
      </c>
      <c r="D29" s="18">
        <v>1171.2</v>
      </c>
      <c r="E29" s="18">
        <f t="shared" si="2"/>
        <v>2030.4</v>
      </c>
      <c r="F29" s="3">
        <v>880.4</v>
      </c>
      <c r="G29" s="31">
        <v>500</v>
      </c>
      <c r="H29" s="31">
        <v>300</v>
      </c>
      <c r="I29" s="31">
        <f>1279.6-929.6</f>
        <v>349.99999999999989</v>
      </c>
      <c r="J29" s="1"/>
    </row>
    <row r="30" spans="1:12" ht="29.45" customHeight="1">
      <c r="A30" s="6" t="s">
        <v>22</v>
      </c>
      <c r="B30" s="9">
        <v>200</v>
      </c>
      <c r="C30" s="17">
        <f t="shared" ref="C30:D30" si="3">SUM(C31:C54)</f>
        <v>84000.1</v>
      </c>
      <c r="D30" s="17">
        <f t="shared" si="3"/>
        <v>78366.600000000006</v>
      </c>
      <c r="E30" s="17">
        <f>SUM(E31:E54)</f>
        <v>71930.419999999984</v>
      </c>
      <c r="F30" s="19">
        <f>SUM(F31:F54)</f>
        <v>21847.32</v>
      </c>
      <c r="G30" s="19">
        <f t="shared" ref="G30:I30" si="4">SUM(G31:G54)</f>
        <v>15079.4</v>
      </c>
      <c r="H30" s="19">
        <f t="shared" si="4"/>
        <v>13598.4</v>
      </c>
      <c r="I30" s="19">
        <f t="shared" si="4"/>
        <v>21405.300000000003</v>
      </c>
      <c r="J30" s="1"/>
    </row>
    <row r="31" spans="1:12" ht="22.15" customHeight="1">
      <c r="A31" s="3" t="s">
        <v>23</v>
      </c>
      <c r="B31" s="24">
        <v>201</v>
      </c>
      <c r="C31" s="18"/>
      <c r="D31" s="18"/>
      <c r="E31" s="18"/>
      <c r="F31" s="31"/>
      <c r="G31" s="63"/>
      <c r="H31" s="63"/>
      <c r="I31" s="37"/>
      <c r="J31" s="1"/>
    </row>
    <row r="32" spans="1:12" ht="15" customHeight="1">
      <c r="A32" s="3" t="s">
        <v>24</v>
      </c>
      <c r="B32" s="24">
        <v>202</v>
      </c>
      <c r="C32" s="18">
        <v>425.7</v>
      </c>
      <c r="D32" s="18">
        <v>676.5</v>
      </c>
      <c r="E32" s="18">
        <f t="shared" si="2"/>
        <v>970.1</v>
      </c>
      <c r="F32" s="80">
        <v>280.5</v>
      </c>
      <c r="G32" s="31">
        <v>277</v>
      </c>
      <c r="H32" s="31">
        <v>94</v>
      </c>
      <c r="I32" s="18">
        <v>318.60000000000002</v>
      </c>
      <c r="J32" s="1"/>
      <c r="L32" s="2" t="s">
        <v>169</v>
      </c>
    </row>
    <row r="33" spans="1:12">
      <c r="A33" s="3" t="s">
        <v>25</v>
      </c>
      <c r="B33" s="24">
        <v>203</v>
      </c>
      <c r="C33" s="18">
        <v>1923</v>
      </c>
      <c r="D33" s="18">
        <v>4000.4</v>
      </c>
      <c r="E33" s="18">
        <f t="shared" si="2"/>
        <v>3530.5</v>
      </c>
      <c r="F33" s="80">
        <v>1288.8</v>
      </c>
      <c r="G33" s="31">
        <v>552.9</v>
      </c>
      <c r="H33" s="31">
        <v>649.29999999999995</v>
      </c>
      <c r="I33" s="18">
        <v>1039.5</v>
      </c>
      <c r="J33" s="1"/>
    </row>
    <row r="34" spans="1:12">
      <c r="A34" s="3" t="s">
        <v>26</v>
      </c>
      <c r="B34" s="24">
        <v>204</v>
      </c>
      <c r="C34" s="18">
        <v>51260.6</v>
      </c>
      <c r="D34" s="18">
        <v>50241.4</v>
      </c>
      <c r="E34" s="18">
        <f t="shared" si="2"/>
        <v>42642.5</v>
      </c>
      <c r="F34" s="76">
        <v>12631</v>
      </c>
      <c r="G34" s="76">
        <v>9907.6</v>
      </c>
      <c r="H34" s="31">
        <v>8147.6</v>
      </c>
      <c r="I34" s="18">
        <f>11747.7+100+50+58.6</f>
        <v>11956.300000000001</v>
      </c>
      <c r="J34" s="1"/>
    </row>
    <row r="35" spans="1:12">
      <c r="A35" s="3" t="s">
        <v>27</v>
      </c>
      <c r="B35" s="24">
        <v>205</v>
      </c>
      <c r="C35" s="18">
        <v>10387.4</v>
      </c>
      <c r="D35" s="18">
        <v>10475.299999999999</v>
      </c>
      <c r="E35" s="18">
        <f t="shared" si="2"/>
        <v>9331.32</v>
      </c>
      <c r="F35" s="31">
        <f>F34*0.22</f>
        <v>2778.82</v>
      </c>
      <c r="G35" s="31">
        <v>2179.6999999999998</v>
      </c>
      <c r="H35" s="31">
        <v>1792.5</v>
      </c>
      <c r="I35" s="18">
        <v>2580.3000000000002</v>
      </c>
      <c r="J35" s="1"/>
    </row>
    <row r="36" spans="1:12" ht="52.9" customHeight="1">
      <c r="A36" s="3" t="s">
        <v>28</v>
      </c>
      <c r="B36" s="24">
        <v>206</v>
      </c>
      <c r="C36" s="18">
        <v>443.1</v>
      </c>
      <c r="D36" s="18">
        <v>411.3</v>
      </c>
      <c r="E36" s="18">
        <f t="shared" si="2"/>
        <v>767.2</v>
      </c>
      <c r="F36" s="31">
        <v>82.4</v>
      </c>
      <c r="G36" s="31">
        <v>101.9</v>
      </c>
      <c r="H36" s="31">
        <v>94.4</v>
      </c>
      <c r="I36" s="18">
        <v>488.5</v>
      </c>
      <c r="J36" s="1"/>
    </row>
    <row r="37" spans="1:12" ht="33" customHeight="1">
      <c r="A37" s="3" t="s">
        <v>29</v>
      </c>
      <c r="B37" s="24">
        <v>207</v>
      </c>
      <c r="C37" s="18"/>
      <c r="D37" s="18"/>
      <c r="E37" s="18"/>
      <c r="F37" s="63"/>
      <c r="G37" s="77"/>
      <c r="H37" s="63"/>
      <c r="I37" s="37"/>
      <c r="J37" s="1"/>
    </row>
    <row r="38" spans="1:12">
      <c r="A38" s="3" t="s">
        <v>30</v>
      </c>
      <c r="B38" s="24">
        <v>208</v>
      </c>
      <c r="C38" s="18">
        <v>690.3</v>
      </c>
      <c r="D38" s="18">
        <v>964</v>
      </c>
      <c r="E38" s="18">
        <f t="shared" si="2"/>
        <v>678.3</v>
      </c>
      <c r="F38" s="3">
        <f>102.5+28+7+6</f>
        <v>143.5</v>
      </c>
      <c r="G38" s="76">
        <v>123</v>
      </c>
      <c r="H38" s="31">
        <f>132.2-0.9</f>
        <v>131.29999999999998</v>
      </c>
      <c r="I38" s="18">
        <v>280.5</v>
      </c>
      <c r="J38" s="1"/>
    </row>
    <row r="39" spans="1:12">
      <c r="A39" s="3" t="s">
        <v>31</v>
      </c>
      <c r="B39" s="24">
        <v>209</v>
      </c>
      <c r="C39" s="18">
        <v>3517.9</v>
      </c>
      <c r="D39" s="18">
        <v>1608.6</v>
      </c>
      <c r="E39" s="18">
        <f t="shared" si="2"/>
        <v>7471.7</v>
      </c>
      <c r="F39" s="3">
        <v>3264.5</v>
      </c>
      <c r="G39" s="3">
        <v>449.4</v>
      </c>
      <c r="H39" s="3">
        <v>1300</v>
      </c>
      <c r="I39" s="18">
        <v>2457.8000000000002</v>
      </c>
      <c r="J39" s="1"/>
    </row>
    <row r="40" spans="1:12">
      <c r="A40" s="3" t="s">
        <v>32</v>
      </c>
      <c r="B40" s="24">
        <v>210</v>
      </c>
      <c r="C40" s="18">
        <v>870.9</v>
      </c>
      <c r="D40" s="18">
        <v>902.8</v>
      </c>
      <c r="E40" s="18">
        <f t="shared" si="2"/>
        <v>845.9</v>
      </c>
      <c r="F40" s="80">
        <v>197.7</v>
      </c>
      <c r="G40" s="31">
        <v>169</v>
      </c>
      <c r="H40" s="31">
        <v>162.19999999999999</v>
      </c>
      <c r="I40" s="18">
        <v>317</v>
      </c>
      <c r="J40" s="1"/>
    </row>
    <row r="41" spans="1:12">
      <c r="A41" s="3" t="s">
        <v>33</v>
      </c>
      <c r="B41" s="24">
        <v>211</v>
      </c>
      <c r="C41" s="18"/>
      <c r="D41" s="18"/>
      <c r="E41" s="18"/>
      <c r="F41" s="31"/>
      <c r="G41" s="76"/>
      <c r="H41" s="31"/>
      <c r="I41" s="18"/>
      <c r="J41" s="1"/>
    </row>
    <row r="42" spans="1:12">
      <c r="A42" s="3" t="s">
        <v>34</v>
      </c>
      <c r="B42" s="24">
        <v>212</v>
      </c>
      <c r="C42" s="18"/>
      <c r="D42" s="18"/>
      <c r="E42" s="18"/>
      <c r="F42" s="31"/>
      <c r="G42" s="76"/>
      <c r="H42" s="31"/>
      <c r="I42" s="18"/>
      <c r="J42" s="1"/>
    </row>
    <row r="43" spans="1:12" ht="22.15" customHeight="1">
      <c r="A43" s="3" t="s">
        <v>35</v>
      </c>
      <c r="B43" s="24">
        <v>213</v>
      </c>
      <c r="C43" s="18">
        <v>256</v>
      </c>
      <c r="D43" s="18">
        <v>214.4</v>
      </c>
      <c r="E43" s="18">
        <f t="shared" si="2"/>
        <v>351.29999999999995</v>
      </c>
      <c r="F43" s="80">
        <v>103.9</v>
      </c>
      <c r="G43" s="3">
        <v>81.400000000000006</v>
      </c>
      <c r="H43" s="3">
        <v>100.1</v>
      </c>
      <c r="I43" s="18">
        <v>65.900000000000006</v>
      </c>
      <c r="L43" s="33" t="s">
        <v>171</v>
      </c>
    </row>
    <row r="44" spans="1:12" ht="33.6" customHeight="1">
      <c r="A44" s="3" t="s">
        <v>36</v>
      </c>
      <c r="B44" s="24">
        <v>214</v>
      </c>
      <c r="C44" s="18">
        <f>11391.7+2049.8</f>
        <v>13441.5</v>
      </c>
      <c r="D44" s="18">
        <f>7079.3+837.6</f>
        <v>7916.9000000000005</v>
      </c>
      <c r="E44" s="18">
        <f t="shared" si="2"/>
        <v>4320.7999999999993</v>
      </c>
      <c r="F44" s="80">
        <v>876.6</v>
      </c>
      <c r="G44" s="31">
        <v>1004</v>
      </c>
      <c r="H44" s="31">
        <f>750+182.6</f>
        <v>932.6</v>
      </c>
      <c r="I44" s="18">
        <v>1507.6</v>
      </c>
      <c r="L44" s="2" t="s">
        <v>167</v>
      </c>
    </row>
    <row r="45" spans="1:12">
      <c r="A45" s="3" t="s">
        <v>37</v>
      </c>
      <c r="B45" s="24">
        <v>215</v>
      </c>
      <c r="C45" s="18">
        <v>425.6</v>
      </c>
      <c r="D45" s="85">
        <v>625.20000000000005</v>
      </c>
      <c r="E45" s="18">
        <f t="shared" si="2"/>
        <v>505.6</v>
      </c>
      <c r="F45" s="80">
        <f>106.5</f>
        <v>106.5</v>
      </c>
      <c r="G45" s="3">
        <v>106.4</v>
      </c>
      <c r="H45" s="3">
        <v>106.4</v>
      </c>
      <c r="I45" s="18">
        <v>186.3</v>
      </c>
    </row>
    <row r="46" spans="1:12">
      <c r="A46" s="3" t="s">
        <v>38</v>
      </c>
      <c r="B46" s="24">
        <v>216</v>
      </c>
      <c r="C46" s="18">
        <v>155.4</v>
      </c>
      <c r="D46" s="85">
        <v>160.80000000000001</v>
      </c>
      <c r="E46" s="18">
        <f t="shared" si="2"/>
        <v>200.7</v>
      </c>
      <c r="F46" s="3">
        <f>38.8+1.8</f>
        <v>40.599999999999994</v>
      </c>
      <c r="G46" s="3">
        <v>38.4</v>
      </c>
      <c r="H46" s="3">
        <v>58</v>
      </c>
      <c r="I46" s="18">
        <v>63.7</v>
      </c>
    </row>
    <row r="47" spans="1:12">
      <c r="A47" s="3" t="s">
        <v>39</v>
      </c>
      <c r="B47" s="24">
        <v>217</v>
      </c>
      <c r="C47" s="18">
        <v>0.6</v>
      </c>
      <c r="D47" s="85">
        <v>1</v>
      </c>
      <c r="E47" s="18">
        <f t="shared" si="2"/>
        <v>0.7</v>
      </c>
      <c r="F47" s="31">
        <v>0</v>
      </c>
      <c r="G47" s="31">
        <v>0</v>
      </c>
      <c r="H47" s="31">
        <v>0</v>
      </c>
      <c r="I47" s="18">
        <v>0.7</v>
      </c>
      <c r="L47" s="2" t="s">
        <v>189</v>
      </c>
    </row>
    <row r="48" spans="1:12" ht="51.6" customHeight="1">
      <c r="A48" s="3" t="s">
        <v>40</v>
      </c>
      <c r="B48" s="24">
        <v>218</v>
      </c>
      <c r="C48" s="18">
        <v>0.1</v>
      </c>
      <c r="D48" s="85">
        <v>2</v>
      </c>
      <c r="E48" s="18">
        <f t="shared" si="2"/>
        <v>1.4</v>
      </c>
      <c r="F48" s="31">
        <v>0.5</v>
      </c>
      <c r="G48" s="31">
        <v>0.5</v>
      </c>
      <c r="H48" s="31">
        <v>0.4</v>
      </c>
      <c r="I48" s="18">
        <v>0</v>
      </c>
    </row>
    <row r="49" spans="1:14">
      <c r="A49" s="3" t="s">
        <v>41</v>
      </c>
      <c r="B49" s="24">
        <v>219</v>
      </c>
      <c r="C49" s="18">
        <v>1.9</v>
      </c>
      <c r="D49" s="85">
        <v>1</v>
      </c>
      <c r="E49" s="18">
        <f t="shared" si="2"/>
        <v>0</v>
      </c>
      <c r="F49" s="31">
        <v>0</v>
      </c>
      <c r="G49" s="31">
        <v>0</v>
      </c>
      <c r="H49" s="31">
        <v>0</v>
      </c>
      <c r="I49" s="18">
        <v>0</v>
      </c>
    </row>
    <row r="50" spans="1:14">
      <c r="A50" s="3" t="s">
        <v>42</v>
      </c>
      <c r="B50" s="24">
        <v>220</v>
      </c>
      <c r="C50" s="18">
        <v>116.8</v>
      </c>
      <c r="D50" s="85">
        <v>77</v>
      </c>
      <c r="E50" s="18">
        <f t="shared" si="2"/>
        <v>174.7</v>
      </c>
      <c r="F50" s="31">
        <f>66.8-28-14.8</f>
        <v>23.999999999999996</v>
      </c>
      <c r="G50" s="31">
        <v>60.2</v>
      </c>
      <c r="H50" s="31">
        <v>1.6</v>
      </c>
      <c r="I50" s="18">
        <v>88.9</v>
      </c>
    </row>
    <row r="51" spans="1:14">
      <c r="A51" s="3" t="s">
        <v>43</v>
      </c>
      <c r="B51" s="24">
        <v>221</v>
      </c>
      <c r="C51" s="18">
        <v>83.3</v>
      </c>
      <c r="D51" s="18">
        <v>88</v>
      </c>
      <c r="E51" s="18">
        <f t="shared" si="2"/>
        <v>137.69999999999999</v>
      </c>
      <c r="F51" s="76">
        <v>28</v>
      </c>
      <c r="G51" s="31">
        <v>28</v>
      </c>
      <c r="H51" s="31">
        <v>28</v>
      </c>
      <c r="I51" s="18">
        <v>53.7</v>
      </c>
    </row>
    <row r="52" spans="1:14" ht="19.899999999999999" customHeight="1">
      <c r="A52" s="3" t="s">
        <v>44</v>
      </c>
      <c r="B52" s="24">
        <v>222</v>
      </c>
      <c r="C52" s="18"/>
      <c r="D52" s="18"/>
      <c r="E52" s="18"/>
      <c r="F52" s="63"/>
      <c r="G52" s="63"/>
      <c r="H52" s="63"/>
      <c r="I52" s="37"/>
    </row>
    <row r="53" spans="1:14" ht="19.149999999999999" customHeight="1">
      <c r="A53" s="3" t="s">
        <v>45</v>
      </c>
      <c r="B53" s="24">
        <v>223</v>
      </c>
      <c r="C53" s="18"/>
      <c r="D53" s="18"/>
      <c r="E53" s="18"/>
      <c r="F53" s="63"/>
      <c r="G53" s="63"/>
      <c r="H53" s="63"/>
      <c r="I53" s="37"/>
    </row>
    <row r="54" spans="1:14" ht="18.600000000000001" customHeight="1">
      <c r="A54" s="3" t="s">
        <v>46</v>
      </c>
      <c r="B54" s="24">
        <v>224</v>
      </c>
      <c r="C54" s="18"/>
      <c r="D54" s="18"/>
      <c r="E54" s="18"/>
      <c r="F54" s="31"/>
      <c r="G54" s="31"/>
      <c r="H54" s="31"/>
      <c r="I54" s="18"/>
      <c r="L54" s="2" t="s">
        <v>170</v>
      </c>
      <c r="N54" s="2" t="s">
        <v>191</v>
      </c>
    </row>
    <row r="55" spans="1:14" ht="15" customHeight="1">
      <c r="A55" s="6" t="s">
        <v>47</v>
      </c>
      <c r="B55" s="9">
        <v>300</v>
      </c>
      <c r="C55" s="19">
        <f t="shared" ref="C55:D55" si="5">SUM(C56:C77)</f>
        <v>9003.7000000000007</v>
      </c>
      <c r="D55" s="19">
        <f t="shared" si="5"/>
        <v>8311</v>
      </c>
      <c r="E55" s="19">
        <f>SUM(E56:E77)</f>
        <v>6628.7359999999999</v>
      </c>
      <c r="F55" s="19">
        <f>SUM(F56:F75)</f>
        <v>1715.1360000000002</v>
      </c>
      <c r="G55" s="19">
        <f t="shared" ref="G55:I55" si="6">SUM(G56:G75)</f>
        <v>1386.1000000000001</v>
      </c>
      <c r="H55" s="19">
        <f t="shared" si="6"/>
        <v>1095.8</v>
      </c>
      <c r="I55" s="19">
        <f t="shared" si="6"/>
        <v>2344.6</v>
      </c>
    </row>
    <row r="56" spans="1:14" ht="33" customHeight="1">
      <c r="A56" s="3" t="s">
        <v>48</v>
      </c>
      <c r="B56" s="24">
        <v>301</v>
      </c>
      <c r="C56" s="18">
        <v>85.3</v>
      </c>
      <c r="D56" s="18">
        <v>94.5</v>
      </c>
      <c r="E56" s="18">
        <f>SUM(F56:I56)</f>
        <v>183.5</v>
      </c>
      <c r="F56" s="76">
        <v>33.200000000000003</v>
      </c>
      <c r="G56" s="31">
        <v>37.799999999999997</v>
      </c>
      <c r="H56" s="31">
        <v>15.9</v>
      </c>
      <c r="I56" s="18">
        <v>96.6</v>
      </c>
    </row>
    <row r="57" spans="1:14" ht="15" customHeight="1">
      <c r="A57" s="3" t="s">
        <v>49</v>
      </c>
      <c r="B57" s="24">
        <v>302</v>
      </c>
      <c r="C57" s="18"/>
      <c r="D57" s="18"/>
      <c r="E57" s="18"/>
      <c r="F57" s="63"/>
      <c r="G57" s="63"/>
      <c r="H57" s="63"/>
      <c r="I57" s="37"/>
    </row>
    <row r="58" spans="1:14">
      <c r="A58" s="3" t="s">
        <v>50</v>
      </c>
      <c r="B58" s="24">
        <v>303</v>
      </c>
      <c r="C58" s="18"/>
      <c r="D58" s="18"/>
      <c r="E58" s="18"/>
      <c r="F58" s="63"/>
      <c r="G58" s="63"/>
      <c r="H58" s="63"/>
      <c r="I58" s="37"/>
    </row>
    <row r="59" spans="1:14">
      <c r="A59" s="3" t="s">
        <v>51</v>
      </c>
      <c r="B59" s="24">
        <v>304</v>
      </c>
      <c r="C59" s="18">
        <v>6.6</v>
      </c>
      <c r="D59" s="18">
        <v>10.5</v>
      </c>
      <c r="E59" s="18">
        <f>SUM(F59:I59)</f>
        <v>8</v>
      </c>
      <c r="F59" s="76">
        <v>1.5</v>
      </c>
      <c r="G59" s="31">
        <v>0</v>
      </c>
      <c r="H59" s="31">
        <v>6.5</v>
      </c>
      <c r="I59" s="18">
        <v>0</v>
      </c>
      <c r="L59" s="2" t="s">
        <v>188</v>
      </c>
    </row>
    <row r="60" spans="1:14">
      <c r="A60" s="3" t="s">
        <v>52</v>
      </c>
      <c r="B60" s="24">
        <v>305</v>
      </c>
      <c r="C60" s="18"/>
      <c r="D60" s="18"/>
      <c r="E60" s="18"/>
      <c r="F60" s="63"/>
      <c r="G60" s="63"/>
      <c r="H60" s="63"/>
      <c r="I60" s="37"/>
    </row>
    <row r="61" spans="1:14">
      <c r="A61" s="3" t="s">
        <v>53</v>
      </c>
      <c r="B61" s="24">
        <v>306</v>
      </c>
      <c r="C61" s="18"/>
      <c r="D61" s="18"/>
      <c r="E61" s="18"/>
      <c r="F61" s="81"/>
      <c r="G61" s="81"/>
      <c r="H61" s="81"/>
      <c r="I61" s="82"/>
    </row>
    <row r="62" spans="1:14">
      <c r="A62" s="3" t="s">
        <v>54</v>
      </c>
      <c r="B62" s="24">
        <v>307</v>
      </c>
      <c r="C62" s="18">
        <v>26.2</v>
      </c>
      <c r="D62" s="18">
        <v>28.7</v>
      </c>
      <c r="E62" s="18">
        <f t="shared" si="2"/>
        <v>35.900000000000006</v>
      </c>
      <c r="F62" s="76">
        <v>9.1999999999999993</v>
      </c>
      <c r="G62" s="31">
        <v>8.9</v>
      </c>
      <c r="H62" s="31">
        <v>8.1</v>
      </c>
      <c r="I62" s="31">
        <v>9.6999999999999993</v>
      </c>
    </row>
    <row r="63" spans="1:14">
      <c r="A63" s="3" t="s">
        <v>55</v>
      </c>
      <c r="B63" s="24">
        <v>308</v>
      </c>
      <c r="C63" s="18">
        <v>6414.5</v>
      </c>
      <c r="D63" s="18">
        <v>6271.1</v>
      </c>
      <c r="E63" s="18">
        <f t="shared" si="2"/>
        <v>5028.7</v>
      </c>
      <c r="F63" s="31">
        <v>1338.8</v>
      </c>
      <c r="G63" s="31">
        <v>1082.4000000000001</v>
      </c>
      <c r="H63" s="31">
        <v>832.4</v>
      </c>
      <c r="I63" s="18">
        <f>1895.1-100-50+30</f>
        <v>1775.1</v>
      </c>
    </row>
    <row r="64" spans="1:14">
      <c r="A64" s="3" t="s">
        <v>56</v>
      </c>
      <c r="B64" s="24">
        <v>309</v>
      </c>
      <c r="C64" s="18">
        <v>1298.5999999999999</v>
      </c>
      <c r="D64" s="18">
        <v>1305.2</v>
      </c>
      <c r="E64" s="18">
        <f t="shared" si="2"/>
        <v>1106.2359999999999</v>
      </c>
      <c r="F64" s="31">
        <f>F63*0.22</f>
        <v>294.536</v>
      </c>
      <c r="G64" s="31">
        <v>238.1</v>
      </c>
      <c r="H64" s="31">
        <v>183.1</v>
      </c>
      <c r="I64" s="31">
        <v>390.5</v>
      </c>
    </row>
    <row r="65" spans="1:13" ht="34.9" customHeight="1">
      <c r="A65" s="3" t="s">
        <v>57</v>
      </c>
      <c r="B65" s="24">
        <v>310</v>
      </c>
      <c r="C65" s="18"/>
      <c r="D65" s="18"/>
      <c r="E65" s="18"/>
      <c r="F65" s="63"/>
      <c r="G65" s="63"/>
      <c r="H65" s="63"/>
      <c r="I65" s="37"/>
    </row>
    <row r="66" spans="1:13" ht="51" customHeight="1">
      <c r="A66" s="3" t="s">
        <v>58</v>
      </c>
      <c r="B66" s="24">
        <v>311</v>
      </c>
      <c r="C66" s="18"/>
      <c r="D66" s="18"/>
      <c r="E66" s="18"/>
      <c r="F66" s="63"/>
      <c r="G66" s="63"/>
      <c r="H66" s="63"/>
      <c r="I66" s="37"/>
    </row>
    <row r="67" spans="1:13" ht="31.5">
      <c r="A67" s="3" t="s">
        <v>161</v>
      </c>
      <c r="B67" s="24">
        <v>312</v>
      </c>
      <c r="C67" s="18"/>
      <c r="D67" s="18"/>
      <c r="E67" s="18"/>
      <c r="F67" s="63"/>
      <c r="G67" s="63"/>
      <c r="H67" s="63"/>
      <c r="I67" s="37"/>
    </row>
    <row r="68" spans="1:13" ht="34.15" customHeight="1">
      <c r="A68" s="3" t="s">
        <v>59</v>
      </c>
      <c r="B68" s="24">
        <v>313</v>
      </c>
      <c r="C68" s="18"/>
      <c r="D68" s="18"/>
      <c r="E68" s="18"/>
      <c r="F68" s="63"/>
      <c r="G68" s="63"/>
      <c r="H68" s="63"/>
      <c r="I68" s="37"/>
    </row>
    <row r="69" spans="1:13">
      <c r="A69" s="3" t="s">
        <v>60</v>
      </c>
      <c r="B69" s="24">
        <v>314</v>
      </c>
      <c r="C69" s="18"/>
      <c r="D69" s="18"/>
      <c r="E69" s="18"/>
      <c r="F69" s="63"/>
      <c r="G69" s="63"/>
      <c r="H69" s="63"/>
      <c r="I69" s="37"/>
    </row>
    <row r="70" spans="1:13" ht="15" customHeight="1">
      <c r="A70" s="3" t="s">
        <v>61</v>
      </c>
      <c r="B70" s="24">
        <v>315</v>
      </c>
      <c r="C70" s="18"/>
      <c r="D70" s="18"/>
      <c r="E70" s="18"/>
      <c r="F70" s="63"/>
      <c r="G70" s="63"/>
      <c r="H70" s="63"/>
      <c r="I70" s="37"/>
    </row>
    <row r="71" spans="1:13">
      <c r="A71" s="3" t="s">
        <v>62</v>
      </c>
      <c r="B71" s="24">
        <v>316</v>
      </c>
      <c r="C71" s="18"/>
      <c r="D71" s="18"/>
      <c r="E71" s="18"/>
      <c r="F71" s="31"/>
      <c r="G71" s="31"/>
      <c r="H71" s="31"/>
      <c r="I71" s="18"/>
    </row>
    <row r="72" spans="1:13">
      <c r="A72" s="3" t="s">
        <v>63</v>
      </c>
      <c r="B72" s="24">
        <v>317</v>
      </c>
      <c r="C72" s="18"/>
      <c r="D72" s="18"/>
      <c r="E72" s="18"/>
      <c r="F72" s="63"/>
      <c r="G72" s="63"/>
      <c r="H72" s="63"/>
      <c r="I72" s="37"/>
    </row>
    <row r="73" spans="1:13" ht="33.6" customHeight="1">
      <c r="A73" s="3" t="s">
        <v>64</v>
      </c>
      <c r="B73" s="24">
        <v>318</v>
      </c>
      <c r="C73" s="18">
        <v>50.5</v>
      </c>
      <c r="D73" s="18">
        <v>219.8</v>
      </c>
      <c r="E73" s="18">
        <f t="shared" si="2"/>
        <v>92.199999999999989</v>
      </c>
      <c r="F73" s="31">
        <v>19.7</v>
      </c>
      <c r="G73" s="31">
        <v>1.5</v>
      </c>
      <c r="H73" s="31">
        <v>34.1</v>
      </c>
      <c r="I73" s="18">
        <v>36.9</v>
      </c>
    </row>
    <row r="74" spans="1:13" ht="31.9" customHeight="1">
      <c r="A74" s="3" t="s">
        <v>65</v>
      </c>
      <c r="B74" s="24">
        <v>319</v>
      </c>
      <c r="C74" s="18"/>
      <c r="D74" s="18"/>
      <c r="E74" s="18"/>
      <c r="F74" s="63"/>
      <c r="G74" s="63"/>
      <c r="H74" s="63"/>
      <c r="I74" s="37"/>
    </row>
    <row r="75" spans="1:13" ht="51" customHeight="1">
      <c r="A75" s="6" t="s">
        <v>66</v>
      </c>
      <c r="B75" s="9">
        <v>320</v>
      </c>
      <c r="C75" s="19">
        <f t="shared" ref="C75:D75" si="7">SUM(C76:C77)</f>
        <v>561</v>
      </c>
      <c r="D75" s="19">
        <f t="shared" si="7"/>
        <v>190.6</v>
      </c>
      <c r="E75" s="19">
        <f>SUM(E76:E77)</f>
        <v>87.1</v>
      </c>
      <c r="F75" s="19">
        <f>SUM(F76:F77)</f>
        <v>18.2</v>
      </c>
      <c r="G75" s="19">
        <f t="shared" ref="G75:I75" si="8">SUM(G76:G77)</f>
        <v>17.399999999999999</v>
      </c>
      <c r="H75" s="19">
        <f t="shared" si="8"/>
        <v>15.7</v>
      </c>
      <c r="I75" s="19">
        <f t="shared" si="8"/>
        <v>35.799999999999997</v>
      </c>
      <c r="L75" s="2" t="s">
        <v>190</v>
      </c>
    </row>
    <row r="76" spans="1:13" ht="15" customHeight="1">
      <c r="A76" s="3" t="s">
        <v>67</v>
      </c>
      <c r="B76" s="24">
        <v>321</v>
      </c>
      <c r="C76" s="18"/>
      <c r="D76" s="18"/>
      <c r="E76" s="18"/>
      <c r="F76" s="63"/>
      <c r="G76" s="63"/>
      <c r="H76" s="37"/>
      <c r="I76" s="37"/>
    </row>
    <row r="77" spans="1:13" ht="15" customHeight="1">
      <c r="A77" s="3" t="s">
        <v>68</v>
      </c>
      <c r="B77" s="24">
        <v>322</v>
      </c>
      <c r="C77" s="18">
        <v>561</v>
      </c>
      <c r="D77" s="18">
        <v>190.6</v>
      </c>
      <c r="E77" s="18">
        <f t="shared" si="2"/>
        <v>87.1</v>
      </c>
      <c r="F77" s="76">
        <v>18.2</v>
      </c>
      <c r="G77" s="31">
        <v>17.399999999999999</v>
      </c>
      <c r="H77" s="31">
        <v>15.7</v>
      </c>
      <c r="I77" s="18">
        <v>35.799999999999997</v>
      </c>
      <c r="L77" s="2" t="s">
        <v>168</v>
      </c>
      <c r="M77" s="2" t="s">
        <v>166</v>
      </c>
    </row>
    <row r="78" spans="1:13">
      <c r="A78" s="6" t="s">
        <v>69</v>
      </c>
      <c r="B78" s="9">
        <v>400</v>
      </c>
      <c r="C78" s="19">
        <f t="shared" ref="C78:E78" si="9">SUM(C79:C87)</f>
        <v>0</v>
      </c>
      <c r="D78" s="19">
        <f t="shared" si="9"/>
        <v>0</v>
      </c>
      <c r="E78" s="19">
        <f t="shared" si="9"/>
        <v>0</v>
      </c>
      <c r="F78" s="19">
        <f>SUM(F79:F87)</f>
        <v>0</v>
      </c>
      <c r="G78" s="19">
        <f t="shared" ref="G78:I78" si="10">SUM(G79:G87)</f>
        <v>0</v>
      </c>
      <c r="H78" s="19">
        <f t="shared" si="10"/>
        <v>0</v>
      </c>
      <c r="I78" s="19">
        <f t="shared" si="10"/>
        <v>0</v>
      </c>
    </row>
    <row r="79" spans="1:13">
      <c r="A79" s="3" t="s">
        <v>70</v>
      </c>
      <c r="B79" s="24">
        <v>401</v>
      </c>
      <c r="C79" s="18"/>
      <c r="D79" s="18"/>
      <c r="E79" s="18"/>
      <c r="F79" s="63"/>
      <c r="G79" s="63"/>
      <c r="H79" s="37"/>
      <c r="I79" s="37"/>
    </row>
    <row r="80" spans="1:13">
      <c r="A80" s="3" t="s">
        <v>71</v>
      </c>
      <c r="B80" s="24">
        <v>402</v>
      </c>
      <c r="C80" s="18"/>
      <c r="D80" s="18"/>
      <c r="E80" s="18"/>
      <c r="F80" s="63"/>
      <c r="G80" s="63"/>
      <c r="H80" s="37"/>
      <c r="I80" s="37"/>
    </row>
    <row r="81" spans="1:12">
      <c r="A81" s="3" t="s">
        <v>55</v>
      </c>
      <c r="B81" s="24">
        <v>403</v>
      </c>
      <c r="C81" s="18"/>
      <c r="D81" s="18"/>
      <c r="E81" s="18"/>
      <c r="F81" s="63"/>
      <c r="G81" s="63"/>
      <c r="H81" s="37"/>
      <c r="I81" s="37"/>
    </row>
    <row r="82" spans="1:12">
      <c r="A82" s="3" t="s">
        <v>56</v>
      </c>
      <c r="B82" s="24">
        <v>404</v>
      </c>
      <c r="C82" s="18"/>
      <c r="D82" s="18"/>
      <c r="E82" s="18"/>
      <c r="F82" s="63"/>
      <c r="G82" s="63"/>
      <c r="H82" s="37"/>
      <c r="I82" s="37"/>
    </row>
    <row r="83" spans="1:12" ht="29.45" customHeight="1">
      <c r="A83" s="3" t="s">
        <v>72</v>
      </c>
      <c r="B83" s="24">
        <v>405</v>
      </c>
      <c r="C83" s="18"/>
      <c r="D83" s="18"/>
      <c r="E83" s="18"/>
      <c r="F83" s="63"/>
      <c r="G83" s="63"/>
      <c r="H83" s="37"/>
      <c r="I83" s="37"/>
    </row>
    <row r="84" spans="1:12">
      <c r="A84" s="3" t="s">
        <v>73</v>
      </c>
      <c r="B84" s="24">
        <v>406</v>
      </c>
      <c r="C84" s="18"/>
      <c r="D84" s="18"/>
      <c r="E84" s="18"/>
      <c r="F84" s="63"/>
      <c r="G84" s="63"/>
      <c r="H84" s="37"/>
      <c r="I84" s="37"/>
    </row>
    <row r="85" spans="1:12">
      <c r="A85" s="3" t="s">
        <v>74</v>
      </c>
      <c r="B85" s="24">
        <v>407</v>
      </c>
      <c r="C85" s="18"/>
      <c r="D85" s="18"/>
      <c r="E85" s="18"/>
      <c r="F85" s="63"/>
      <c r="G85" s="63"/>
      <c r="H85" s="37"/>
      <c r="I85" s="37"/>
    </row>
    <row r="86" spans="1:12" ht="15" customHeight="1">
      <c r="A86" s="3" t="s">
        <v>75</v>
      </c>
      <c r="B86" s="24">
        <v>408</v>
      </c>
      <c r="C86" s="18"/>
      <c r="D86" s="18"/>
      <c r="E86" s="18"/>
      <c r="F86" s="63"/>
      <c r="G86" s="63"/>
      <c r="H86" s="37"/>
      <c r="I86" s="37"/>
    </row>
    <row r="87" spans="1:12" ht="15" customHeight="1">
      <c r="A87" s="3" t="s">
        <v>76</v>
      </c>
      <c r="B87" s="24">
        <v>409</v>
      </c>
      <c r="C87" s="18"/>
      <c r="D87" s="18"/>
      <c r="E87" s="18"/>
      <c r="F87" s="63"/>
      <c r="G87" s="63"/>
      <c r="H87" s="37"/>
      <c r="I87" s="37"/>
    </row>
    <row r="88" spans="1:12">
      <c r="A88" s="3" t="s">
        <v>77</v>
      </c>
      <c r="B88" s="24">
        <v>500</v>
      </c>
      <c r="C88" s="18"/>
      <c r="D88" s="18"/>
      <c r="E88" s="18"/>
      <c r="F88" s="63"/>
      <c r="G88" s="63"/>
      <c r="H88" s="37"/>
      <c r="I88" s="37"/>
    </row>
    <row r="89" spans="1:12">
      <c r="A89" s="3" t="s">
        <v>194</v>
      </c>
      <c r="B89" s="24">
        <v>600</v>
      </c>
      <c r="C89" s="18">
        <v>6395.3</v>
      </c>
      <c r="D89" s="18">
        <v>7100.7</v>
      </c>
      <c r="E89" s="18">
        <f t="shared" ref="E89" si="11">SUM(F89:I89)</f>
        <v>145.30000000000001</v>
      </c>
      <c r="F89" s="31">
        <v>0</v>
      </c>
      <c r="G89" s="31">
        <v>0</v>
      </c>
      <c r="H89" s="18">
        <v>0</v>
      </c>
      <c r="I89" s="18">
        <f>45.3+100</f>
        <v>145.30000000000001</v>
      </c>
      <c r="L89" s="2" t="s">
        <v>172</v>
      </c>
    </row>
    <row r="90" spans="1:12" s="20" customFormat="1">
      <c r="A90" s="6" t="s">
        <v>78</v>
      </c>
      <c r="B90" s="9">
        <v>700</v>
      </c>
      <c r="C90" s="19">
        <f t="shared" ref="C90:E90" si="12">SUM(C25)</f>
        <v>112137.09999999999</v>
      </c>
      <c r="D90" s="19">
        <f t="shared" si="12"/>
        <v>97569.499999999985</v>
      </c>
      <c r="E90" s="19">
        <f t="shared" si="12"/>
        <v>74841</v>
      </c>
      <c r="F90" s="19">
        <f>SUM(F25)</f>
        <v>23562.5</v>
      </c>
      <c r="G90" s="19">
        <f t="shared" ref="G90:I90" si="13">SUM(G25)</f>
        <v>16465.5</v>
      </c>
      <c r="H90" s="19">
        <f t="shared" si="13"/>
        <v>14694.2</v>
      </c>
      <c r="I90" s="19">
        <f t="shared" si="13"/>
        <v>20118.8</v>
      </c>
    </row>
    <row r="91" spans="1:12" s="20" customFormat="1">
      <c r="A91" s="6" t="s">
        <v>79</v>
      </c>
      <c r="B91" s="9">
        <v>800</v>
      </c>
      <c r="C91" s="19">
        <f t="shared" ref="C91:E91" si="14">SUM(C97:C100,C94)</f>
        <v>98838.1</v>
      </c>
      <c r="D91" s="19">
        <f t="shared" si="14"/>
        <v>93587.700000000012</v>
      </c>
      <c r="E91" s="19">
        <f t="shared" si="14"/>
        <v>78617.356</v>
      </c>
      <c r="F91" s="19">
        <f>SUM(F97:F100,F94)</f>
        <v>23562.455999999998</v>
      </c>
      <c r="G91" s="19">
        <f>SUM(G97:G100,G94)</f>
        <v>16465.5</v>
      </c>
      <c r="H91" s="19">
        <f>SUM(H97:H100,H94)</f>
        <v>14694.2</v>
      </c>
      <c r="I91" s="19">
        <f t="shared" ref="I91" si="15">SUM(I97:I100,I94)</f>
        <v>23895.200000000001</v>
      </c>
    </row>
    <row r="92" spans="1:12" s="20" customFormat="1">
      <c r="A92" s="6" t="s">
        <v>80</v>
      </c>
      <c r="B92" s="9">
        <v>900</v>
      </c>
      <c r="C92" s="19">
        <f t="shared" ref="C92:D92" si="16">C90-C91</f>
        <v>13298.999999999985</v>
      </c>
      <c r="D92" s="19">
        <f t="shared" si="16"/>
        <v>3981.7999999999738</v>
      </c>
      <c r="E92" s="19">
        <v>0</v>
      </c>
      <c r="F92" s="68">
        <f>F90-F91</f>
        <v>4.4000000001688022E-2</v>
      </c>
      <c r="G92" s="19">
        <f>G90-G91</f>
        <v>0</v>
      </c>
      <c r="H92" s="19">
        <f t="shared" ref="H92" si="17">H90-H91</f>
        <v>0</v>
      </c>
      <c r="I92" s="19">
        <f>I90-I91</f>
        <v>-3776.4000000000015</v>
      </c>
    </row>
    <row r="93" spans="1:12">
      <c r="A93" s="6" t="s">
        <v>81</v>
      </c>
      <c r="B93" s="9"/>
      <c r="C93" s="17"/>
      <c r="D93" s="17"/>
      <c r="E93" s="18"/>
      <c r="F93" s="19"/>
      <c r="G93" s="19"/>
      <c r="H93" s="18"/>
      <c r="I93" s="18"/>
    </row>
    <row r="94" spans="1:12" ht="31.5">
      <c r="A94" s="3" t="s">
        <v>164</v>
      </c>
      <c r="B94" s="24">
        <v>1000</v>
      </c>
      <c r="C94" s="31">
        <f t="shared" ref="C94:D94" si="18">C36+C32+C44+C43+C56+C96</f>
        <v>21046.699999999997</v>
      </c>
      <c r="D94" s="31">
        <f t="shared" si="18"/>
        <v>15913.400000000001</v>
      </c>
      <c r="E94" s="31">
        <f>E36+E32+E44+E43+E56+E96</f>
        <v>18578.7</v>
      </c>
      <c r="F94" s="31">
        <f>F36+F32+F44+F43+F56+F96</f>
        <v>6155.6</v>
      </c>
      <c r="G94" s="31">
        <f>G36+G32+G44+G43+G56+G96</f>
        <v>2701.4</v>
      </c>
      <c r="H94" s="31">
        <f t="shared" ref="H94:I94" si="19">H36+H32+H44+H43+H56+H96</f>
        <v>3376.5</v>
      </c>
      <c r="I94" s="31">
        <f t="shared" si="19"/>
        <v>6345.2</v>
      </c>
      <c r="J94" s="1"/>
    </row>
    <row r="95" spans="1:12" ht="18" customHeight="1">
      <c r="A95" s="3" t="s">
        <v>82</v>
      </c>
      <c r="B95" s="24">
        <v>1001</v>
      </c>
      <c r="C95" s="31"/>
      <c r="D95" s="31"/>
      <c r="E95" s="31"/>
      <c r="F95" s="31"/>
      <c r="G95" s="31"/>
      <c r="H95" s="18"/>
      <c r="I95" s="18"/>
      <c r="J95" s="1"/>
    </row>
    <row r="96" spans="1:12" ht="31.5" customHeight="1">
      <c r="A96" s="3" t="s">
        <v>165</v>
      </c>
      <c r="B96" s="24">
        <v>1002</v>
      </c>
      <c r="C96" s="31">
        <f t="shared" ref="C96:D96" si="20">C33+C39+C40+C41+C42+C51</f>
        <v>6395.0999999999995</v>
      </c>
      <c r="D96" s="31">
        <f t="shared" si="20"/>
        <v>6599.8</v>
      </c>
      <c r="E96" s="31">
        <f>E33+E39+E40+E41+E42+E51</f>
        <v>11985.800000000001</v>
      </c>
      <c r="F96" s="31">
        <f>F33+F39+F40+F41+F42+F51</f>
        <v>4779</v>
      </c>
      <c r="G96" s="31">
        <f t="shared" ref="G96:I96" si="21">G33+G39+G40+G41+G42+G51</f>
        <v>1199.3</v>
      </c>
      <c r="H96" s="31">
        <f t="shared" si="21"/>
        <v>2139.5</v>
      </c>
      <c r="I96" s="31">
        <f t="shared" si="21"/>
        <v>3868</v>
      </c>
      <c r="J96" s="1"/>
    </row>
    <row r="97" spans="1:10">
      <c r="A97" s="3" t="s">
        <v>26</v>
      </c>
      <c r="B97" s="24">
        <v>1100</v>
      </c>
      <c r="C97" s="31">
        <f t="shared" ref="C97:D97" si="22">C34+C63+C81</f>
        <v>57675.1</v>
      </c>
      <c r="D97" s="31">
        <f t="shared" si="22"/>
        <v>56512.5</v>
      </c>
      <c r="E97" s="31">
        <f t="shared" ref="E97:E98" si="23">E34+E63+E81</f>
        <v>47671.199999999997</v>
      </c>
      <c r="F97" s="31">
        <f>F34+F63+F81</f>
        <v>13969.8</v>
      </c>
      <c r="G97" s="31">
        <f t="shared" ref="G97:I97" si="24">G34+G63+G81</f>
        <v>10990</v>
      </c>
      <c r="H97" s="31">
        <f t="shared" si="24"/>
        <v>8980</v>
      </c>
      <c r="I97" s="31">
        <f t="shared" si="24"/>
        <v>13731.400000000001</v>
      </c>
      <c r="J97" s="1"/>
    </row>
    <row r="98" spans="1:10">
      <c r="A98" s="3" t="s">
        <v>27</v>
      </c>
      <c r="B98" s="24">
        <v>1200</v>
      </c>
      <c r="C98" s="31">
        <f t="shared" ref="C98:D98" si="25">C35+C64+C82</f>
        <v>11686</v>
      </c>
      <c r="D98" s="31">
        <f t="shared" si="25"/>
        <v>11780.5</v>
      </c>
      <c r="E98" s="31">
        <f t="shared" si="23"/>
        <v>10437.556</v>
      </c>
      <c r="F98" s="31">
        <f>F35+F64+F82</f>
        <v>3073.3560000000002</v>
      </c>
      <c r="G98" s="31">
        <f t="shared" ref="G98:I98" si="26">G35+G64+G82</f>
        <v>2417.7999999999997</v>
      </c>
      <c r="H98" s="31">
        <f t="shared" si="26"/>
        <v>1975.6</v>
      </c>
      <c r="I98" s="31">
        <f t="shared" si="26"/>
        <v>2970.8</v>
      </c>
    </row>
    <row r="99" spans="1:10">
      <c r="A99" s="3" t="s">
        <v>83</v>
      </c>
      <c r="B99" s="24">
        <v>1300</v>
      </c>
      <c r="C99" s="31"/>
      <c r="D99" s="31"/>
      <c r="E99" s="31"/>
      <c r="F99" s="31"/>
      <c r="G99" s="31"/>
      <c r="H99" s="18"/>
      <c r="I99" s="18"/>
    </row>
    <row r="100" spans="1:10">
      <c r="A100" s="3" t="s">
        <v>84</v>
      </c>
      <c r="B100" s="24">
        <v>1400</v>
      </c>
      <c r="C100" s="31">
        <f t="shared" ref="C100:D100" si="27">SUM(C37:C38,C45:C50,C52:C54,C57:C62,C65:C75,C78,C89)</f>
        <v>8430.2999999999993</v>
      </c>
      <c r="D100" s="31">
        <f t="shared" si="27"/>
        <v>9381.2999999999993</v>
      </c>
      <c r="E100" s="31">
        <f>SUM(E37:E38,E45:E50,E52:E54,E57:E62,E65:E75,E78,E89)</f>
        <v>1929.9000000000003</v>
      </c>
      <c r="F100" s="31">
        <f>SUM(F37:F38,F45:F50,F52:F54,F57:F62,F65:F75,F78,F89)</f>
        <v>363.7</v>
      </c>
      <c r="G100" s="31">
        <f t="shared" ref="G100:I100" si="28">SUM(G37:G38,G45:G50,G52:G54,G57:G62,G65:G75,G78,G89)</f>
        <v>356.29999999999995</v>
      </c>
      <c r="H100" s="31">
        <f t="shared" si="28"/>
        <v>362.1</v>
      </c>
      <c r="I100" s="31">
        <f t="shared" si="28"/>
        <v>847.8</v>
      </c>
    </row>
    <row r="101" spans="1:10" s="20" customFormat="1">
      <c r="A101" s="6" t="s">
        <v>85</v>
      </c>
      <c r="B101" s="9">
        <v>1500</v>
      </c>
      <c r="C101" s="19">
        <f t="shared" ref="C101:D101" si="29">SUM(C97:C100,C94)</f>
        <v>98838.1</v>
      </c>
      <c r="D101" s="19">
        <f t="shared" si="29"/>
        <v>93587.700000000012</v>
      </c>
      <c r="E101" s="19">
        <f>SUM(E97:E100,E94)</f>
        <v>78617.356</v>
      </c>
      <c r="F101" s="19">
        <f>SUM(F97:F100,F94)</f>
        <v>23562.455999999998</v>
      </c>
      <c r="G101" s="19">
        <f t="shared" ref="G101:I101" si="30">SUM(G97:G100,G94)</f>
        <v>16465.5</v>
      </c>
      <c r="H101" s="19">
        <f t="shared" si="30"/>
        <v>14694.2</v>
      </c>
      <c r="I101" s="19">
        <f t="shared" si="30"/>
        <v>23895.200000000001</v>
      </c>
    </row>
    <row r="102" spans="1:10">
      <c r="A102" s="11"/>
      <c r="B102" s="1"/>
      <c r="C102" s="1"/>
      <c r="D102" s="1"/>
      <c r="E102" s="1"/>
      <c r="F102" s="27"/>
      <c r="H102" s="27"/>
      <c r="I102" s="27"/>
    </row>
    <row r="103" spans="1:10">
      <c r="A103" s="64"/>
      <c r="B103" s="1"/>
      <c r="C103" s="1"/>
      <c r="D103" s="1"/>
      <c r="E103" s="1"/>
      <c r="F103" s="1"/>
      <c r="G103" s="2"/>
      <c r="H103" s="1"/>
      <c r="I103" s="1"/>
    </row>
    <row r="104" spans="1:10" ht="16.149999999999999" customHeight="1" thickBot="1">
      <c r="A104" s="12" t="s">
        <v>12</v>
      </c>
      <c r="B104" s="13"/>
      <c r="C104" s="13"/>
      <c r="D104" s="13"/>
      <c r="E104" s="34"/>
      <c r="F104" s="34"/>
      <c r="G104" s="99" t="s">
        <v>200</v>
      </c>
      <c r="H104" s="99"/>
      <c r="I104" s="99"/>
    </row>
    <row r="105" spans="1:10" ht="15.6" customHeight="1">
      <c r="A105" s="14" t="s">
        <v>86</v>
      </c>
      <c r="B105" s="35" t="s">
        <v>87</v>
      </c>
      <c r="C105" s="96"/>
      <c r="D105" s="96"/>
      <c r="E105" s="23"/>
      <c r="F105" s="23"/>
      <c r="G105" s="96" t="s">
        <v>88</v>
      </c>
      <c r="H105" s="96"/>
      <c r="I105" s="96"/>
    </row>
  </sheetData>
  <mergeCells count="29">
    <mergeCell ref="E2:I2"/>
    <mergeCell ref="E3:I3"/>
    <mergeCell ref="F4:I4"/>
    <mergeCell ref="C105:D105"/>
    <mergeCell ref="A21:A22"/>
    <mergeCell ref="B21:B22"/>
    <mergeCell ref="F21:I21"/>
    <mergeCell ref="C21:C22"/>
    <mergeCell ref="D21:D22"/>
    <mergeCell ref="E21:E22"/>
    <mergeCell ref="A19:I19"/>
    <mergeCell ref="G104:I104"/>
    <mergeCell ref="G105:I105"/>
    <mergeCell ref="A15:I15"/>
    <mergeCell ref="A16:I16"/>
    <mergeCell ref="A17:I17"/>
    <mergeCell ref="B13:F13"/>
    <mergeCell ref="B12:F12"/>
    <mergeCell ref="B10:F10"/>
    <mergeCell ref="G6:I6"/>
    <mergeCell ref="B11:F11"/>
    <mergeCell ref="B9:F9"/>
    <mergeCell ref="B8:F8"/>
    <mergeCell ref="B7:F7"/>
    <mergeCell ref="G7:H7"/>
    <mergeCell ref="G8:H8"/>
    <mergeCell ref="G9:H9"/>
    <mergeCell ref="G11:H11"/>
    <mergeCell ref="G10:H10"/>
  </mergeCells>
  <pageMargins left="0.31496062992125984" right="0.11811023622047245" top="0.15748031496062992" bottom="0.15748031496062992" header="0.31496062992125984" footer="0.31496062992125984"/>
  <pageSetup paperSize="9" scale="99" fitToWidth="0" orientation="landscape" r:id="rId1"/>
  <rowBreaks count="3" manualBreakCount="3">
    <brk id="29" max="8" man="1"/>
    <brk id="54" max="8" man="1"/>
    <brk id="77" max="8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J31"/>
  <sheetViews>
    <sheetView workbookViewId="0">
      <selection activeCell="E13" sqref="E13"/>
    </sheetView>
  </sheetViews>
  <sheetFormatPr defaultColWidth="8.85546875" defaultRowHeight="15.75"/>
  <cols>
    <col min="1" max="1" width="47.42578125" style="2" customWidth="1"/>
    <col min="2" max="2" width="8.85546875" style="2"/>
    <col min="3" max="3" width="13.7109375" style="2" customWidth="1"/>
    <col min="4" max="4" width="15.85546875" style="2" customWidth="1"/>
    <col min="5" max="5" width="12.28515625" style="2" customWidth="1"/>
    <col min="6" max="6" width="11.42578125" style="2" customWidth="1"/>
    <col min="7" max="7" width="8.85546875" style="2"/>
    <col min="8" max="16384" width="8.85546875" style="25"/>
  </cols>
  <sheetData>
    <row r="1" spans="1:10" s="2" customFormat="1">
      <c r="D1" s="38"/>
      <c r="F1" s="38"/>
      <c r="H1" s="95" t="s">
        <v>90</v>
      </c>
      <c r="I1" s="95"/>
    </row>
    <row r="2" spans="1:10" s="2" customFormat="1">
      <c r="A2" s="98" t="s">
        <v>91</v>
      </c>
      <c r="B2" s="98"/>
      <c r="C2" s="98"/>
      <c r="D2" s="98"/>
      <c r="E2" s="98"/>
      <c r="F2" s="98"/>
      <c r="G2" s="98"/>
      <c r="H2" s="98"/>
      <c r="I2" s="98"/>
    </row>
    <row r="3" spans="1:10" s="2" customFormat="1" ht="8.4499999999999993" customHeight="1"/>
    <row r="4" spans="1:10" s="2" customFormat="1" ht="15" customHeight="1">
      <c r="A4" s="97" t="s">
        <v>15</v>
      </c>
      <c r="B4" s="97" t="s">
        <v>89</v>
      </c>
      <c r="C4" s="97" t="s">
        <v>184</v>
      </c>
      <c r="D4" s="97" t="s">
        <v>183</v>
      </c>
      <c r="E4" s="97" t="s">
        <v>185</v>
      </c>
      <c r="F4" s="97" t="s">
        <v>177</v>
      </c>
      <c r="G4" s="97"/>
      <c r="H4" s="97"/>
      <c r="I4" s="97"/>
      <c r="J4" s="1"/>
    </row>
    <row r="5" spans="1:10" s="2" customFormat="1" ht="37.15" customHeight="1">
      <c r="A5" s="97"/>
      <c r="B5" s="97"/>
      <c r="C5" s="97"/>
      <c r="D5" s="97"/>
      <c r="E5" s="97"/>
      <c r="F5" s="32" t="s">
        <v>178</v>
      </c>
      <c r="G5" s="32" t="s">
        <v>179</v>
      </c>
      <c r="H5" s="32" t="s">
        <v>180</v>
      </c>
      <c r="I5" s="32" t="s">
        <v>181</v>
      </c>
      <c r="J5" s="1"/>
    </row>
    <row r="6" spans="1:10" s="2" customFormat="1">
      <c r="A6" s="24">
        <v>1</v>
      </c>
      <c r="B6" s="24">
        <v>2</v>
      </c>
      <c r="C6" s="24">
        <v>3</v>
      </c>
      <c r="D6" s="24">
        <v>4</v>
      </c>
      <c r="E6" s="24">
        <v>5</v>
      </c>
      <c r="F6" s="24">
        <v>6</v>
      </c>
      <c r="G6" s="24">
        <v>7</v>
      </c>
      <c r="H6" s="24">
        <v>8</v>
      </c>
      <c r="I6" s="24">
        <v>9</v>
      </c>
      <c r="J6" s="1"/>
    </row>
    <row r="7" spans="1:10" s="2" customFormat="1" ht="17.45" customHeight="1">
      <c r="A7" s="6" t="s">
        <v>92</v>
      </c>
      <c r="B7" s="6"/>
      <c r="C7" s="6"/>
      <c r="D7" s="6"/>
      <c r="E7" s="6"/>
      <c r="F7" s="3"/>
      <c r="G7" s="3"/>
      <c r="H7" s="3"/>
      <c r="I7" s="3"/>
      <c r="J7" s="1"/>
    </row>
    <row r="8" spans="1:10" s="20" customFormat="1" ht="37.9" customHeight="1">
      <c r="A8" s="6" t="s">
        <v>93</v>
      </c>
      <c r="B8" s="6">
        <v>2000</v>
      </c>
      <c r="C8" s="19">
        <v>0</v>
      </c>
      <c r="D8" s="19">
        <v>0</v>
      </c>
      <c r="E8" s="19">
        <f>SUM(F8:I8)</f>
        <v>4141.3999999999996</v>
      </c>
      <c r="F8" s="19">
        <v>0</v>
      </c>
      <c r="G8" s="17">
        <f>F14</f>
        <v>0</v>
      </c>
      <c r="H8" s="17">
        <f>G14</f>
        <v>0</v>
      </c>
      <c r="I8" s="17">
        <v>4141.3999999999996</v>
      </c>
      <c r="J8" s="11"/>
    </row>
    <row r="9" spans="1:10" s="2" customFormat="1" ht="34.15" customHeight="1">
      <c r="A9" s="3" t="s">
        <v>94</v>
      </c>
      <c r="B9" s="3">
        <v>2001</v>
      </c>
      <c r="C9" s="31"/>
      <c r="D9" s="31"/>
      <c r="E9" s="31"/>
      <c r="F9" s="31"/>
      <c r="G9" s="31"/>
      <c r="H9" s="18"/>
      <c r="I9" s="18"/>
      <c r="J9" s="1"/>
    </row>
    <row r="10" spans="1:10" s="2" customFormat="1" ht="18.600000000000001" customHeight="1">
      <c r="A10" s="3" t="s">
        <v>95</v>
      </c>
      <c r="B10" s="3">
        <v>2002</v>
      </c>
      <c r="C10" s="31"/>
      <c r="D10" s="31"/>
      <c r="E10" s="31"/>
      <c r="F10" s="31"/>
      <c r="G10" s="31"/>
      <c r="H10" s="18"/>
      <c r="I10" s="18"/>
      <c r="J10" s="1"/>
    </row>
    <row r="11" spans="1:10" s="2" customFormat="1" ht="32.450000000000003" customHeight="1">
      <c r="A11" s="3" t="s">
        <v>96</v>
      </c>
      <c r="B11" s="3">
        <v>2003</v>
      </c>
      <c r="C11" s="31"/>
      <c r="D11" s="31"/>
      <c r="E11" s="31"/>
      <c r="F11" s="31"/>
      <c r="G11" s="31"/>
      <c r="H11" s="18"/>
      <c r="I11" s="18"/>
      <c r="J11" s="1"/>
    </row>
    <row r="12" spans="1:10" s="2" customFormat="1" ht="20.45" customHeight="1">
      <c r="A12" s="3" t="s">
        <v>97</v>
      </c>
      <c r="B12" s="3">
        <v>2004</v>
      </c>
      <c r="C12" s="31"/>
      <c r="D12" s="31"/>
      <c r="E12" s="31"/>
      <c r="F12" s="31"/>
      <c r="G12" s="31"/>
      <c r="H12" s="18"/>
      <c r="I12" s="18"/>
      <c r="J12" s="1"/>
    </row>
    <row r="13" spans="1:10" s="2" customFormat="1" ht="18" customHeight="1">
      <c r="A13" s="3" t="s">
        <v>203</v>
      </c>
      <c r="B13" s="3">
        <v>2005</v>
      </c>
      <c r="C13" s="31"/>
      <c r="D13" s="31"/>
      <c r="E13" s="18">
        <v>3776.4</v>
      </c>
      <c r="F13" s="31"/>
      <c r="G13" s="31"/>
      <c r="H13" s="18"/>
      <c r="I13" s="18">
        <v>3776.4</v>
      </c>
      <c r="J13" s="1"/>
    </row>
    <row r="14" spans="1:10" s="2" customFormat="1" ht="34.15" customHeight="1">
      <c r="A14" s="3" t="s">
        <v>98</v>
      </c>
      <c r="B14" s="3">
        <v>2006</v>
      </c>
      <c r="C14" s="31">
        <f>'Таблиця 1'!C92</f>
        <v>13298.999999999985</v>
      </c>
      <c r="D14" s="31">
        <f>'Таблиця 1'!D92</f>
        <v>3981.7999999999738</v>
      </c>
      <c r="E14" s="31">
        <f>SUM(F14:I14)</f>
        <v>364.99999999999955</v>
      </c>
      <c r="F14" s="31">
        <v>0</v>
      </c>
      <c r="G14" s="31">
        <f>'Таблиця 1'!G92+F14</f>
        <v>0</v>
      </c>
      <c r="H14" s="31">
        <f>'Таблиця 1'!H92+G14</f>
        <v>0</v>
      </c>
      <c r="I14" s="31">
        <f>I8-I13</f>
        <v>364.99999999999955</v>
      </c>
      <c r="J14" s="1"/>
    </row>
    <row r="15" spans="1:10" ht="47.45" customHeight="1">
      <c r="A15" s="6" t="s">
        <v>99</v>
      </c>
      <c r="B15" s="6">
        <v>2100</v>
      </c>
      <c r="C15" s="19">
        <f t="shared" ref="C15:D15" si="0">SUM(C16:C20)</f>
        <v>10381.618</v>
      </c>
      <c r="D15" s="19">
        <f t="shared" si="0"/>
        <v>10174.25</v>
      </c>
      <c r="E15" s="19">
        <f>SUM(F15:I15)</f>
        <v>8582.2160000000003</v>
      </c>
      <c r="F15" s="17">
        <f t="shared" ref="F15:I15" si="1">SUM(F16:F20)</f>
        <v>2515.0639999999999</v>
      </c>
      <c r="G15" s="17">
        <f t="shared" si="1"/>
        <v>1978.6999999999998</v>
      </c>
      <c r="H15" s="17">
        <f>SUM(H16:H20)</f>
        <v>1616.8</v>
      </c>
      <c r="I15" s="17">
        <f t="shared" si="1"/>
        <v>2471.652</v>
      </c>
      <c r="J15" s="27"/>
    </row>
    <row r="16" spans="1:10" ht="18.600000000000001" customHeight="1">
      <c r="A16" s="3" t="s">
        <v>100</v>
      </c>
      <c r="B16" s="3">
        <v>2101</v>
      </c>
      <c r="C16" s="31">
        <f>'Таблиця 1'!C97*18%</f>
        <v>10381.518</v>
      </c>
      <c r="D16" s="31">
        <f>'Таблиця 1'!D97*18%</f>
        <v>10172.25</v>
      </c>
      <c r="E16" s="31">
        <f>SUM(F16:I16)</f>
        <v>8580.8159999999989</v>
      </c>
      <c r="F16" s="31">
        <f>'Таблиця 1'!F97*18%</f>
        <v>2514.5639999999999</v>
      </c>
      <c r="G16" s="31">
        <f>'Таблиця 1'!G97*18%</f>
        <v>1978.1999999999998</v>
      </c>
      <c r="H16" s="31">
        <f>'Таблиця 1'!H97*18%</f>
        <v>1616.3999999999999</v>
      </c>
      <c r="I16" s="31">
        <f>'Таблиця 1'!I97*18%</f>
        <v>2471.652</v>
      </c>
      <c r="J16" s="27"/>
    </row>
    <row r="17" spans="1:10" ht="17.45" customHeight="1">
      <c r="A17" s="3" t="s">
        <v>101</v>
      </c>
      <c r="B17" s="3">
        <v>2102</v>
      </c>
      <c r="C17" s="31">
        <f>'Таблиця 1'!C48</f>
        <v>0.1</v>
      </c>
      <c r="D17" s="31">
        <f>'Таблиця 1'!D48</f>
        <v>2</v>
      </c>
      <c r="E17" s="31">
        <f>'Таблиця 1'!E48</f>
        <v>1.4</v>
      </c>
      <c r="F17" s="31">
        <f>'Таблиця 1'!F48</f>
        <v>0.5</v>
      </c>
      <c r="G17" s="31">
        <f>'Таблиця 1'!G48</f>
        <v>0.5</v>
      </c>
      <c r="H17" s="31">
        <f>'Таблиця 1'!H48</f>
        <v>0.4</v>
      </c>
      <c r="I17" s="31">
        <f>'Таблиця 1'!I48</f>
        <v>0</v>
      </c>
      <c r="J17" s="27"/>
    </row>
    <row r="18" spans="1:10" ht="15" customHeight="1">
      <c r="A18" s="3" t="s">
        <v>102</v>
      </c>
      <c r="B18" s="3">
        <v>2103</v>
      </c>
      <c r="C18" s="31"/>
      <c r="D18" s="31"/>
      <c r="E18" s="31"/>
      <c r="F18" s="31"/>
      <c r="G18" s="31"/>
      <c r="H18" s="37"/>
      <c r="I18" s="37"/>
      <c r="J18" s="27"/>
    </row>
    <row r="19" spans="1:10" ht="15" customHeight="1">
      <c r="A19" s="3" t="s">
        <v>103</v>
      </c>
      <c r="B19" s="3">
        <v>2104</v>
      </c>
      <c r="C19" s="31"/>
      <c r="D19" s="31"/>
      <c r="E19" s="31"/>
      <c r="F19" s="31"/>
      <c r="G19" s="31"/>
      <c r="H19" s="37"/>
      <c r="I19" s="37"/>
      <c r="J19" s="27"/>
    </row>
    <row r="20" spans="1:10" ht="20.45" customHeight="1">
      <c r="A20" s="3" t="s">
        <v>104</v>
      </c>
      <c r="B20" s="3">
        <v>2105</v>
      </c>
      <c r="C20" s="31"/>
      <c r="D20" s="31"/>
      <c r="E20" s="31"/>
      <c r="F20" s="31"/>
      <c r="G20" s="31"/>
      <c r="H20" s="37"/>
      <c r="I20" s="37"/>
      <c r="J20" s="27"/>
    </row>
    <row r="21" spans="1:10" ht="35.450000000000003" customHeight="1">
      <c r="A21" s="6" t="s">
        <v>105</v>
      </c>
      <c r="B21" s="6">
        <v>2200</v>
      </c>
      <c r="C21" s="19">
        <f t="shared" ref="C21:G21" si="2">SUM(C22:C25)</f>
        <v>12551.1265</v>
      </c>
      <c r="D21" s="19">
        <f t="shared" si="2"/>
        <v>12628.1875</v>
      </c>
      <c r="E21" s="17">
        <f t="shared" si="2"/>
        <v>11152.624</v>
      </c>
      <c r="F21" s="17">
        <f>SUM(F22:F25)</f>
        <v>3282.9030000000002</v>
      </c>
      <c r="G21" s="17">
        <f t="shared" si="2"/>
        <v>2582.6499999999996</v>
      </c>
      <c r="H21" s="17">
        <f>SUM(H22:H25)</f>
        <v>2110.2999999999997</v>
      </c>
      <c r="I21" s="17">
        <f t="shared" ref="I21" si="3">G21/F21*100</f>
        <v>78.669701785279656</v>
      </c>
      <c r="J21" s="27"/>
    </row>
    <row r="22" spans="1:10" ht="20.45" customHeight="1">
      <c r="A22" s="3" t="s">
        <v>106</v>
      </c>
      <c r="B22" s="3">
        <v>2201</v>
      </c>
      <c r="C22" s="31"/>
      <c r="D22" s="31"/>
      <c r="E22" s="31"/>
      <c r="F22" s="31"/>
      <c r="G22" s="31"/>
      <c r="H22" s="37"/>
      <c r="I22" s="37"/>
      <c r="J22" s="27"/>
    </row>
    <row r="23" spans="1:10" ht="34.9" customHeight="1">
      <c r="A23" s="3" t="s">
        <v>107</v>
      </c>
      <c r="B23" s="3">
        <v>2202</v>
      </c>
      <c r="C23" s="31">
        <f>'Таблиця 1'!C98</f>
        <v>11686</v>
      </c>
      <c r="D23" s="31">
        <f>'Таблиця 1'!D98</f>
        <v>11780.5</v>
      </c>
      <c r="E23" s="31">
        <f>SUM(F23:I23)</f>
        <v>10437.556</v>
      </c>
      <c r="F23" s="31">
        <f>'Таблиця 1'!F98</f>
        <v>3073.3560000000002</v>
      </c>
      <c r="G23" s="31">
        <f>'Таблиця 1'!G98</f>
        <v>2417.7999999999997</v>
      </c>
      <c r="H23" s="31">
        <f>'Таблиця 1'!H98</f>
        <v>1975.6</v>
      </c>
      <c r="I23" s="31">
        <f>'Таблиця 1'!I98</f>
        <v>2970.8</v>
      </c>
      <c r="J23" s="27"/>
    </row>
    <row r="24" spans="1:10" ht="25.9" customHeight="1">
      <c r="A24" s="3" t="s">
        <v>108</v>
      </c>
      <c r="B24" s="3">
        <v>2203</v>
      </c>
      <c r="C24" s="31"/>
      <c r="D24" s="31"/>
      <c r="E24" s="31"/>
      <c r="F24" s="31"/>
      <c r="G24" s="31"/>
      <c r="H24" s="18"/>
      <c r="I24" s="37"/>
      <c r="J24" s="27"/>
    </row>
    <row r="25" spans="1:10" ht="24" customHeight="1">
      <c r="A25" s="3" t="s">
        <v>109</v>
      </c>
      <c r="B25" s="3">
        <v>2204</v>
      </c>
      <c r="C25" s="31">
        <f>'Таблиця 1'!C97*1.5%</f>
        <v>865.12649999999996</v>
      </c>
      <c r="D25" s="31">
        <f>'Таблиця 1'!D97*1.5%</f>
        <v>847.6875</v>
      </c>
      <c r="E25" s="31">
        <f>SUM(F25:I25)</f>
        <v>715.06799999999998</v>
      </c>
      <c r="F25" s="31">
        <f>'Таблиця 1'!F97*1.5%</f>
        <v>209.54699999999997</v>
      </c>
      <c r="G25" s="31">
        <f>'Таблиця 1'!G97*1.5%</f>
        <v>164.85</v>
      </c>
      <c r="H25" s="31">
        <f>'Таблиця 1'!H97*1.5%</f>
        <v>134.69999999999999</v>
      </c>
      <c r="I25" s="31">
        <f>'Таблиця 1'!I97*1.5%</f>
        <v>205.971</v>
      </c>
      <c r="J25" s="27"/>
    </row>
    <row r="26" spans="1:10" s="20" customFormat="1" ht="31.9" customHeight="1">
      <c r="A26" s="6" t="s">
        <v>110</v>
      </c>
      <c r="B26" s="6">
        <v>2300</v>
      </c>
      <c r="C26" s="17">
        <f t="shared" ref="C26:H26" si="4">SUM(C27:C28)</f>
        <v>0</v>
      </c>
      <c r="D26" s="17">
        <f t="shared" si="4"/>
        <v>0</v>
      </c>
      <c r="E26" s="17">
        <f>SUM(F26:I26)</f>
        <v>0</v>
      </c>
      <c r="F26" s="17">
        <f t="shared" si="4"/>
        <v>0</v>
      </c>
      <c r="G26" s="17">
        <f t="shared" si="4"/>
        <v>0</v>
      </c>
      <c r="H26" s="17">
        <f t="shared" si="4"/>
        <v>0</v>
      </c>
      <c r="I26" s="17">
        <f>SUM(I27:I28)</f>
        <v>0</v>
      </c>
      <c r="J26" s="11"/>
    </row>
    <row r="27" spans="1:10" s="2" customFormat="1" ht="52.9" customHeight="1">
      <c r="A27" s="3" t="s">
        <v>111</v>
      </c>
      <c r="B27" s="3">
        <v>2301</v>
      </c>
      <c r="C27" s="31"/>
      <c r="D27" s="31"/>
      <c r="E27" s="31"/>
      <c r="F27" s="31"/>
      <c r="G27" s="31"/>
      <c r="H27" s="18"/>
      <c r="I27" s="18"/>
      <c r="J27" s="1"/>
    </row>
    <row r="28" spans="1:10" s="2" customFormat="1" ht="24.6" customHeight="1">
      <c r="A28" s="3" t="s">
        <v>112</v>
      </c>
      <c r="B28" s="3">
        <v>2302</v>
      </c>
      <c r="C28" s="31"/>
      <c r="D28" s="31"/>
      <c r="E28" s="31"/>
      <c r="F28" s="31"/>
      <c r="G28" s="31"/>
      <c r="H28" s="18"/>
      <c r="I28" s="18"/>
      <c r="J28" s="1"/>
    </row>
    <row r="29" spans="1:10" s="2" customFormat="1" ht="12.6" customHeight="1">
      <c r="A29" s="1"/>
      <c r="B29" s="1"/>
      <c r="C29" s="1"/>
      <c r="D29" s="1"/>
      <c r="E29" s="39"/>
      <c r="F29" s="39"/>
      <c r="G29" s="1"/>
    </row>
    <row r="30" spans="1:10" s="2" customFormat="1" ht="16.149999999999999" customHeight="1" thickBot="1">
      <c r="A30" s="12" t="s">
        <v>12</v>
      </c>
      <c r="B30" s="34"/>
      <c r="C30" s="34"/>
      <c r="D30" s="34"/>
      <c r="E30" s="99"/>
      <c r="F30" s="99"/>
      <c r="G30" s="99" t="s">
        <v>200</v>
      </c>
      <c r="H30" s="99"/>
      <c r="I30" s="99"/>
    </row>
    <row r="31" spans="1:10" s="2" customFormat="1" ht="14.45" customHeight="1">
      <c r="A31" s="40" t="s">
        <v>86</v>
      </c>
      <c r="B31" s="35" t="s">
        <v>87</v>
      </c>
      <c r="C31" s="35"/>
      <c r="D31" s="35"/>
      <c r="E31" s="101"/>
      <c r="F31" s="101"/>
      <c r="G31" s="101" t="s">
        <v>88</v>
      </c>
      <c r="H31" s="101"/>
      <c r="I31" s="101"/>
    </row>
  </sheetData>
  <mergeCells count="12">
    <mergeCell ref="H1:I1"/>
    <mergeCell ref="G30:I30"/>
    <mergeCell ref="A2:I2"/>
    <mergeCell ref="G31:I31"/>
    <mergeCell ref="E31:F31"/>
    <mergeCell ref="B4:B5"/>
    <mergeCell ref="A4:A5"/>
    <mergeCell ref="E30:F30"/>
    <mergeCell ref="F4:I4"/>
    <mergeCell ref="C4:C5"/>
    <mergeCell ref="D4:D5"/>
    <mergeCell ref="E4:E5"/>
  </mergeCells>
  <pageMargins left="0.31496062992125984" right="0.31496062992125984" top="0.35433070866141736" bottom="0.15748031496062992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I48"/>
  <sheetViews>
    <sheetView view="pageBreakPreview" topLeftCell="A16" zoomScaleSheetLayoutView="100" workbookViewId="0">
      <selection activeCell="E43" sqref="E43:E44"/>
    </sheetView>
  </sheetViews>
  <sheetFormatPr defaultColWidth="8.85546875" defaultRowHeight="15.75"/>
  <cols>
    <col min="1" max="1" width="47.28515625" style="2" customWidth="1"/>
    <col min="2" max="2" width="9.140625" style="2" bestFit="1" customWidth="1"/>
    <col min="3" max="3" width="11.7109375" style="2" customWidth="1"/>
    <col min="4" max="4" width="12.7109375" style="2" customWidth="1"/>
    <col min="5" max="5" width="13.7109375" style="2" customWidth="1"/>
    <col min="6" max="6" width="12" style="25" customWidth="1"/>
    <col min="7" max="8" width="9.140625" style="2" bestFit="1" customWidth="1"/>
    <col min="9" max="9" width="11.5703125" style="25" bestFit="1" customWidth="1"/>
    <col min="10" max="16384" width="8.85546875" style="25"/>
  </cols>
  <sheetData>
    <row r="1" spans="1:9">
      <c r="A1" s="38"/>
      <c r="F1" s="26"/>
      <c r="H1" s="95" t="s">
        <v>186</v>
      </c>
      <c r="I1" s="95"/>
    </row>
    <row r="2" spans="1:9">
      <c r="A2" s="98" t="s">
        <v>113</v>
      </c>
      <c r="B2" s="98"/>
      <c r="C2" s="98"/>
      <c r="D2" s="98"/>
      <c r="E2" s="98"/>
      <c r="F2" s="98"/>
      <c r="G2" s="98"/>
      <c r="H2" s="98"/>
      <c r="I2" s="98"/>
    </row>
    <row r="4" spans="1:9" ht="15" customHeight="1">
      <c r="A4" s="97" t="s">
        <v>15</v>
      </c>
      <c r="B4" s="97" t="s">
        <v>89</v>
      </c>
      <c r="C4" s="97" t="s">
        <v>184</v>
      </c>
      <c r="D4" s="97" t="s">
        <v>183</v>
      </c>
      <c r="E4" s="97" t="s">
        <v>185</v>
      </c>
      <c r="F4" s="97" t="s">
        <v>177</v>
      </c>
      <c r="G4" s="97"/>
      <c r="H4" s="97"/>
      <c r="I4" s="97"/>
    </row>
    <row r="5" spans="1:9" ht="48" customHeight="1">
      <c r="A5" s="97"/>
      <c r="B5" s="97"/>
      <c r="C5" s="97"/>
      <c r="D5" s="97"/>
      <c r="E5" s="97"/>
      <c r="F5" s="43" t="s">
        <v>178</v>
      </c>
      <c r="G5" s="43" t="s">
        <v>179</v>
      </c>
      <c r="H5" s="43" t="s">
        <v>180</v>
      </c>
      <c r="I5" s="43" t="s">
        <v>181</v>
      </c>
    </row>
    <row r="6" spans="1:9">
      <c r="A6" s="24">
        <v>1</v>
      </c>
      <c r="B6" s="24">
        <v>2</v>
      </c>
      <c r="C6" s="24">
        <v>3</v>
      </c>
      <c r="D6" s="24">
        <v>4</v>
      </c>
      <c r="E6" s="24">
        <v>5</v>
      </c>
      <c r="F6" s="24">
        <v>6</v>
      </c>
      <c r="G6" s="24">
        <v>7</v>
      </c>
      <c r="H6" s="24">
        <v>8</v>
      </c>
      <c r="I6" s="24">
        <v>9</v>
      </c>
    </row>
    <row r="7" spans="1:9" ht="15" customHeight="1">
      <c r="A7" s="104" t="s">
        <v>114</v>
      </c>
      <c r="B7" s="104"/>
      <c r="C7" s="104"/>
      <c r="D7" s="104"/>
      <c r="E7" s="104"/>
      <c r="F7" s="104"/>
      <c r="G7" s="104"/>
      <c r="H7" s="104"/>
      <c r="I7" s="104"/>
    </row>
    <row r="8" spans="1:9" ht="34.15" customHeight="1">
      <c r="A8" s="41" t="s">
        <v>115</v>
      </c>
      <c r="B8" s="42">
        <v>3000</v>
      </c>
      <c r="C8" s="69">
        <f>SUM(C9:C20)</f>
        <v>112137.09999999999</v>
      </c>
      <c r="D8" s="69">
        <f t="shared" ref="D8" si="0">SUM(D9:D13)</f>
        <v>97569.5</v>
      </c>
      <c r="E8" s="69">
        <f>SUM(F8:I8)</f>
        <v>74841</v>
      </c>
      <c r="F8" s="69">
        <f>SUM(F9:F13)</f>
        <v>23562.5</v>
      </c>
      <c r="G8" s="69">
        <f t="shared" ref="G8" si="1">SUM(G9:G13)</f>
        <v>16465.5</v>
      </c>
      <c r="H8" s="69">
        <f>SUM(H9:H13)</f>
        <v>14694.2</v>
      </c>
      <c r="I8" s="69">
        <f>SUM(I9:I13)</f>
        <v>20118.800000000003</v>
      </c>
    </row>
    <row r="9" spans="1:9" ht="42" customHeight="1">
      <c r="A9" s="44" t="s">
        <v>116</v>
      </c>
      <c r="B9" s="43">
        <v>3001</v>
      </c>
      <c r="C9" s="46">
        <v>2423</v>
      </c>
      <c r="D9" s="46">
        <v>1171.2</v>
      </c>
      <c r="E9" s="46">
        <f t="shared" ref="E9:E13" si="2">SUM(F9:I9)</f>
        <v>2030.4</v>
      </c>
      <c r="F9" s="46">
        <v>880.4</v>
      </c>
      <c r="G9" s="46">
        <v>500</v>
      </c>
      <c r="H9" s="46">
        <v>300</v>
      </c>
      <c r="I9" s="46">
        <v>350</v>
      </c>
    </row>
    <row r="10" spans="1:9" ht="23.45" customHeight="1">
      <c r="A10" s="45" t="s">
        <v>18</v>
      </c>
      <c r="B10" s="43">
        <v>3002</v>
      </c>
      <c r="C10" s="46">
        <f>'Таблиця 1'!C26</f>
        <v>12156.2</v>
      </c>
      <c r="D10" s="46">
        <f>'Таблиця 1'!D26</f>
        <v>12011.599999999999</v>
      </c>
      <c r="E10" s="46">
        <f t="shared" si="2"/>
        <v>16325.400000000001</v>
      </c>
      <c r="F10" s="46">
        <f>'Таблиця 1'!F26</f>
        <v>4961.6000000000004</v>
      </c>
      <c r="G10" s="46">
        <f>'Таблиця 1'!G26</f>
        <v>1382</v>
      </c>
      <c r="H10" s="46">
        <f>'Таблиця 1'!H26</f>
        <v>2322.1</v>
      </c>
      <c r="I10" s="46">
        <f>'Таблиця 1'!I26</f>
        <v>7659.7000000000007</v>
      </c>
    </row>
    <row r="11" spans="1:9" ht="26.45" customHeight="1">
      <c r="A11" s="45" t="s">
        <v>19</v>
      </c>
      <c r="B11" s="43">
        <v>3003</v>
      </c>
      <c r="C11" s="46">
        <f>'Таблиця 1'!C27</f>
        <v>4133.6000000000004</v>
      </c>
      <c r="D11" s="46">
        <f>'Таблиця 1'!D27</f>
        <v>0</v>
      </c>
      <c r="E11" s="46">
        <f>'Таблиця 1'!E27</f>
        <v>0</v>
      </c>
      <c r="F11" s="46">
        <f>'Таблиця 1'!F27</f>
        <v>0</v>
      </c>
      <c r="G11" s="46">
        <f>'Таблиця 1'!G27</f>
        <v>0</v>
      </c>
      <c r="H11" s="46">
        <f>'Таблиця 1'!H27</f>
        <v>0</v>
      </c>
      <c r="I11" s="46">
        <f>'Таблиця 1'!I27</f>
        <v>398.7</v>
      </c>
    </row>
    <row r="12" spans="1:9">
      <c r="A12" s="45" t="s">
        <v>20</v>
      </c>
      <c r="B12" s="43">
        <v>3004</v>
      </c>
      <c r="C12" s="46">
        <f>'Таблиця 1'!C28</f>
        <v>93229.9</v>
      </c>
      <c r="D12" s="46">
        <f>'Таблиця 1'!D28</f>
        <v>84386.7</v>
      </c>
      <c r="E12" s="46">
        <f t="shared" si="2"/>
        <v>56086.5</v>
      </c>
      <c r="F12" s="46">
        <f>'Таблиця 1'!F28</f>
        <v>17720.5</v>
      </c>
      <c r="G12" s="46">
        <f>'Таблиця 1'!G28</f>
        <v>14583.5</v>
      </c>
      <c r="H12" s="46">
        <f>'Таблиця 1'!H28</f>
        <v>12072.1</v>
      </c>
      <c r="I12" s="46">
        <f>'Таблиця 1'!I28</f>
        <v>11710.4</v>
      </c>
    </row>
    <row r="13" spans="1:9">
      <c r="A13" s="45" t="s">
        <v>21</v>
      </c>
      <c r="B13" s="43">
        <v>3005</v>
      </c>
      <c r="C13" s="46">
        <v>0</v>
      </c>
      <c r="D13" s="46">
        <f>'Таблиця 1'!D29-'Таблиця 3'!D9</f>
        <v>0</v>
      </c>
      <c r="E13" s="46">
        <f t="shared" si="2"/>
        <v>0</v>
      </c>
      <c r="F13" s="46">
        <f>'Таблиця 1'!F29-'Таблиця 3'!F9</f>
        <v>0</v>
      </c>
      <c r="G13" s="46">
        <f>'Таблиця 1'!G29-'Таблиця 3'!G9</f>
        <v>0</v>
      </c>
      <c r="H13" s="46">
        <f>'Таблиця 1'!H29-'Таблиця 3'!H9</f>
        <v>0</v>
      </c>
      <c r="I13" s="46">
        <f>'Таблиця 1'!I29-'Таблиця 3'!I9</f>
        <v>0</v>
      </c>
    </row>
    <row r="14" spans="1:9" ht="24" customHeight="1">
      <c r="A14" s="44" t="s">
        <v>117</v>
      </c>
      <c r="B14" s="43">
        <v>3100</v>
      </c>
      <c r="C14" s="46"/>
      <c r="D14" s="46"/>
      <c r="E14" s="46"/>
      <c r="F14" s="28"/>
      <c r="G14" s="46"/>
      <c r="H14" s="46"/>
      <c r="I14" s="28"/>
    </row>
    <row r="15" spans="1:9" ht="20.45" customHeight="1">
      <c r="A15" s="44" t="s">
        <v>118</v>
      </c>
      <c r="B15" s="43">
        <v>3101</v>
      </c>
      <c r="C15" s="46"/>
      <c r="D15" s="46"/>
      <c r="E15" s="46"/>
      <c r="F15" s="28"/>
      <c r="G15" s="46"/>
      <c r="H15" s="46"/>
      <c r="I15" s="28"/>
    </row>
    <row r="16" spans="1:9" ht="18.600000000000001" customHeight="1">
      <c r="A16" s="44" t="s">
        <v>119</v>
      </c>
      <c r="B16" s="43">
        <v>3200</v>
      </c>
      <c r="C16" s="46"/>
      <c r="D16" s="46"/>
      <c r="E16" s="46"/>
      <c r="F16" s="28"/>
      <c r="G16" s="46"/>
      <c r="H16" s="46"/>
      <c r="I16" s="28"/>
    </row>
    <row r="17" spans="1:9" ht="22.9" customHeight="1">
      <c r="A17" s="44" t="s">
        <v>120</v>
      </c>
      <c r="B17" s="43">
        <v>3300</v>
      </c>
      <c r="C17" s="46"/>
      <c r="D17" s="46"/>
      <c r="E17" s="46"/>
      <c r="F17" s="28"/>
      <c r="G17" s="46"/>
      <c r="H17" s="46"/>
      <c r="I17" s="28"/>
    </row>
    <row r="18" spans="1:9" ht="29.45" customHeight="1">
      <c r="A18" s="44" t="s">
        <v>121</v>
      </c>
      <c r="B18" s="43">
        <v>3400</v>
      </c>
      <c r="C18" s="46"/>
      <c r="D18" s="46"/>
      <c r="E18" s="46"/>
      <c r="F18" s="28"/>
      <c r="G18" s="46"/>
      <c r="H18" s="46"/>
      <c r="I18" s="28"/>
    </row>
    <row r="19" spans="1:9" ht="24" customHeight="1">
      <c r="A19" s="44" t="s">
        <v>122</v>
      </c>
      <c r="B19" s="43">
        <v>3500</v>
      </c>
      <c r="C19" s="46"/>
      <c r="D19" s="46"/>
      <c r="E19" s="46"/>
      <c r="F19" s="28"/>
      <c r="G19" s="46"/>
      <c r="H19" s="46"/>
      <c r="I19" s="28"/>
    </row>
    <row r="20" spans="1:9" ht="30.6" customHeight="1">
      <c r="A20" s="44" t="s">
        <v>123</v>
      </c>
      <c r="B20" s="43">
        <v>3600</v>
      </c>
      <c r="C20" s="46">
        <v>194.4</v>
      </c>
      <c r="D20" s="46">
        <v>0</v>
      </c>
      <c r="E20" s="46">
        <v>0</v>
      </c>
      <c r="F20" s="46">
        <v>0</v>
      </c>
      <c r="G20" s="46">
        <v>0</v>
      </c>
      <c r="H20" s="46">
        <v>0</v>
      </c>
      <c r="I20" s="46">
        <v>0</v>
      </c>
    </row>
    <row r="21" spans="1:9" ht="30.6" customHeight="1">
      <c r="A21" s="41" t="s">
        <v>124</v>
      </c>
      <c r="B21" s="43">
        <v>3700</v>
      </c>
      <c r="C21" s="69">
        <f>'Таблиця 1'!C91</f>
        <v>98838.1</v>
      </c>
      <c r="D21" s="69">
        <f>'Таблиця 1'!D91</f>
        <v>93587.700000000012</v>
      </c>
      <c r="E21" s="69">
        <f>SUM(F21:I21)</f>
        <v>78617.356</v>
      </c>
      <c r="F21" s="69">
        <f>'Таблиця 1'!F91</f>
        <v>23562.455999999998</v>
      </c>
      <c r="G21" s="69">
        <f>'Таблиця 1'!G91</f>
        <v>16465.5</v>
      </c>
      <c r="H21" s="69">
        <f>'Таблиця 1'!H91</f>
        <v>14694.2</v>
      </c>
      <c r="I21" s="69">
        <f>'Таблиця 1'!I91</f>
        <v>23895.200000000001</v>
      </c>
    </row>
    <row r="22" spans="1:9" ht="36" customHeight="1">
      <c r="A22" s="44" t="s">
        <v>125</v>
      </c>
      <c r="B22" s="43">
        <v>3701</v>
      </c>
      <c r="C22" s="46">
        <f>'Таблиця 1'!C101-'Таблиця 1'!C97-'Таблиця 1'!C98-'Таблиця 1'!C46</f>
        <v>29321.600000000006</v>
      </c>
      <c r="D22" s="46">
        <f>'Таблиця 1'!D101-'Таблиця 1'!D97-'Таблиця 1'!D98-'Таблиця 1'!D46</f>
        <v>25133.900000000012</v>
      </c>
      <c r="E22" s="69">
        <f>SUM(F22:I22)</f>
        <v>20307.900000000001</v>
      </c>
      <c r="F22" s="46">
        <f>'Таблиця 1'!F101-'Таблиця 1'!F97-'Таблиця 1'!F98-'Таблиця 1'!F46</f>
        <v>6478.6999999999989</v>
      </c>
      <c r="G22" s="46">
        <f>'Таблиця 1'!G101-'Таблиця 1'!G97-'Таблиця 1'!G98-'Таблиця 1'!G46</f>
        <v>3019.3</v>
      </c>
      <c r="H22" s="46">
        <f>'Таблиця 1'!H101-'Таблиця 1'!H97-'Таблиця 1'!H98-'Таблиця 1'!H46</f>
        <v>3680.6000000000008</v>
      </c>
      <c r="I22" s="46">
        <f>'Таблиця 1'!I101-'Таблиця 1'!I97-'Таблиця 1'!I98-'Таблиця 1'!I46</f>
        <v>7129.2999999999993</v>
      </c>
    </row>
    <row r="23" spans="1:9" ht="24" customHeight="1">
      <c r="A23" s="44" t="s">
        <v>126</v>
      </c>
      <c r="B23" s="43">
        <v>3702</v>
      </c>
      <c r="C23" s="46">
        <f>'Таблиця 1'!C97</f>
        <v>57675.1</v>
      </c>
      <c r="D23" s="46">
        <f>'Таблиця 1'!D97</f>
        <v>56512.5</v>
      </c>
      <c r="E23" s="46">
        <f>'Таблиця 1'!E97</f>
        <v>47671.199999999997</v>
      </c>
      <c r="F23" s="46">
        <f>'Таблиця 1'!F97</f>
        <v>13969.8</v>
      </c>
      <c r="G23" s="46">
        <f>'Таблиця 1'!G97</f>
        <v>10990</v>
      </c>
      <c r="H23" s="46">
        <f>'Таблиця 1'!H97</f>
        <v>8980</v>
      </c>
      <c r="I23" s="46">
        <f>'Таблиця 1'!I97</f>
        <v>13731.400000000001</v>
      </c>
    </row>
    <row r="24" spans="1:9" ht="38.450000000000003" customHeight="1">
      <c r="A24" s="44" t="s">
        <v>127</v>
      </c>
      <c r="B24" s="43">
        <v>3703</v>
      </c>
      <c r="C24" s="46"/>
      <c r="D24" s="46"/>
      <c r="E24" s="46"/>
      <c r="F24" s="28"/>
      <c r="G24" s="46"/>
      <c r="H24" s="46"/>
      <c r="I24" s="28"/>
    </row>
    <row r="25" spans="1:9" ht="48" customHeight="1">
      <c r="A25" s="44" t="s">
        <v>128</v>
      </c>
      <c r="B25" s="43">
        <v>3800</v>
      </c>
      <c r="C25" s="46">
        <f>'Таблиця 2'!C15+'Таблиця 2'!C21</f>
        <v>22932.744500000001</v>
      </c>
      <c r="D25" s="46">
        <f>'Таблиця 2'!D15+'Таблиця 2'!D21</f>
        <v>22802.4375</v>
      </c>
      <c r="E25" s="46">
        <f>SUM(F25:I25)</f>
        <v>16636.738701785278</v>
      </c>
      <c r="F25" s="46">
        <f>'Таблиця 2'!F15+'Таблиця 2'!F21</f>
        <v>5797.9670000000006</v>
      </c>
      <c r="G25" s="46">
        <f>'Таблиця 2'!G15+'Таблиця 2'!G21</f>
        <v>4561.3499999999995</v>
      </c>
      <c r="H25" s="46">
        <f>'Таблиця 2'!H15+'Таблиця 2'!H21</f>
        <v>3727.0999999999995</v>
      </c>
      <c r="I25" s="46">
        <f>'Таблиця 2'!I15+'Таблиця 2'!I21</f>
        <v>2550.3217017852799</v>
      </c>
    </row>
    <row r="26" spans="1:9" ht="24" customHeight="1">
      <c r="A26" s="44" t="s">
        <v>193</v>
      </c>
      <c r="B26" s="43">
        <v>3801</v>
      </c>
      <c r="C26" s="46">
        <f>'Таблиця 2'!C16</f>
        <v>10381.518</v>
      </c>
      <c r="D26" s="46">
        <f>'Таблиця 2'!D16</f>
        <v>10172.25</v>
      </c>
      <c r="E26" s="46">
        <f>SUM(F26:I26)</f>
        <v>8580.8159999999989</v>
      </c>
      <c r="F26" s="46">
        <f>'Таблиця 2'!F16</f>
        <v>2514.5639999999999</v>
      </c>
      <c r="G26" s="46">
        <f>'Таблиця 2'!G16</f>
        <v>1978.1999999999998</v>
      </c>
      <c r="H26" s="46">
        <f>'Таблиця 2'!H16</f>
        <v>1616.3999999999999</v>
      </c>
      <c r="I26" s="46">
        <f>'Таблиця 2'!I16</f>
        <v>2471.652</v>
      </c>
    </row>
    <row r="27" spans="1:9" ht="23.45" customHeight="1">
      <c r="A27" s="44" t="s">
        <v>129</v>
      </c>
      <c r="B27" s="43">
        <v>3900</v>
      </c>
      <c r="C27" s="46"/>
      <c r="D27" s="46"/>
      <c r="E27" s="46"/>
      <c r="F27" s="28"/>
      <c r="G27" s="46"/>
      <c r="H27" s="46"/>
      <c r="I27" s="28"/>
    </row>
    <row r="28" spans="1:9" ht="21" customHeight="1">
      <c r="A28" s="44" t="s">
        <v>130</v>
      </c>
      <c r="B28" s="43">
        <v>4000</v>
      </c>
      <c r="C28" s="46"/>
      <c r="D28" s="46"/>
      <c r="E28" s="46"/>
      <c r="F28" s="28"/>
      <c r="G28" s="46"/>
      <c r="H28" s="46"/>
      <c r="I28" s="28"/>
    </row>
    <row r="29" spans="1:9" ht="22.9" customHeight="1">
      <c r="A29" s="44" t="s">
        <v>30</v>
      </c>
      <c r="B29" s="43">
        <v>5000</v>
      </c>
      <c r="C29" s="46"/>
      <c r="D29" s="46"/>
      <c r="E29" s="46"/>
      <c r="F29" s="28"/>
      <c r="G29" s="46"/>
      <c r="H29" s="46"/>
      <c r="I29" s="28"/>
    </row>
    <row r="30" spans="1:9" ht="33" customHeight="1">
      <c r="A30" s="41" t="s">
        <v>131</v>
      </c>
      <c r="B30" s="43">
        <v>6000</v>
      </c>
      <c r="C30" s="46"/>
      <c r="D30" s="46"/>
      <c r="E30" s="46"/>
      <c r="F30" s="28"/>
      <c r="G30" s="46"/>
      <c r="H30" s="46"/>
      <c r="I30" s="28"/>
    </row>
    <row r="31" spans="1:9" s="2" customFormat="1" ht="15" customHeight="1">
      <c r="A31" s="104" t="s">
        <v>132</v>
      </c>
      <c r="B31" s="104"/>
      <c r="C31" s="104"/>
      <c r="D31" s="104"/>
      <c r="E31" s="104"/>
      <c r="F31" s="104"/>
      <c r="G31" s="104"/>
      <c r="H31" s="104"/>
      <c r="I31" s="104"/>
    </row>
    <row r="32" spans="1:9" ht="38.450000000000003" customHeight="1">
      <c r="A32" s="41" t="s">
        <v>133</v>
      </c>
      <c r="B32" s="43">
        <v>7000</v>
      </c>
      <c r="C32" s="46"/>
      <c r="D32" s="46"/>
      <c r="E32" s="46"/>
      <c r="F32" s="29"/>
      <c r="G32" s="47"/>
      <c r="H32" s="47"/>
      <c r="I32" s="29"/>
    </row>
    <row r="33" spans="1:9" ht="32.450000000000003" customHeight="1">
      <c r="A33" s="44" t="s">
        <v>134</v>
      </c>
      <c r="B33" s="43">
        <v>7001</v>
      </c>
      <c r="C33" s="46"/>
      <c r="D33" s="46"/>
      <c r="E33" s="46"/>
      <c r="F33" s="29"/>
      <c r="G33" s="47"/>
      <c r="H33" s="47"/>
      <c r="I33" s="29"/>
    </row>
    <row r="34" spans="1:9" ht="25.9" customHeight="1">
      <c r="A34" s="44" t="s">
        <v>122</v>
      </c>
      <c r="B34" s="43">
        <v>7002</v>
      </c>
      <c r="C34" s="46"/>
      <c r="D34" s="46"/>
      <c r="E34" s="46"/>
      <c r="F34" s="29"/>
      <c r="G34" s="47"/>
      <c r="H34" s="47"/>
      <c r="I34" s="29"/>
    </row>
    <row r="35" spans="1:9" ht="39" customHeight="1">
      <c r="A35" s="44" t="s">
        <v>135</v>
      </c>
      <c r="B35" s="43">
        <v>8000</v>
      </c>
      <c r="C35" s="46"/>
      <c r="D35" s="46"/>
      <c r="E35" s="46"/>
      <c r="F35" s="29"/>
      <c r="G35" s="47"/>
      <c r="H35" s="47"/>
      <c r="I35" s="29"/>
    </row>
    <row r="36" spans="1:9" ht="40.9" customHeight="1">
      <c r="A36" s="44" t="s">
        <v>136</v>
      </c>
      <c r="B36" s="43">
        <v>8001</v>
      </c>
      <c r="C36" s="46"/>
      <c r="D36" s="46"/>
      <c r="E36" s="46"/>
      <c r="F36" s="29"/>
      <c r="G36" s="47"/>
      <c r="H36" s="47"/>
      <c r="I36" s="29"/>
    </row>
    <row r="37" spans="1:9" ht="36.6" customHeight="1">
      <c r="A37" s="44" t="s">
        <v>137</v>
      </c>
      <c r="B37" s="43">
        <v>8002</v>
      </c>
      <c r="C37" s="46"/>
      <c r="D37" s="46"/>
      <c r="E37" s="46"/>
      <c r="F37" s="29"/>
      <c r="G37" s="47"/>
      <c r="H37" s="47"/>
      <c r="I37" s="29"/>
    </row>
    <row r="38" spans="1:9" ht="27" customHeight="1">
      <c r="A38" s="44" t="s">
        <v>30</v>
      </c>
      <c r="B38" s="43">
        <v>8003</v>
      </c>
      <c r="C38" s="46"/>
      <c r="D38" s="46"/>
      <c r="E38" s="46"/>
      <c r="F38" s="29"/>
      <c r="G38" s="47"/>
      <c r="H38" s="47"/>
      <c r="I38" s="29"/>
    </row>
    <row r="39" spans="1:9" ht="51" customHeight="1">
      <c r="A39" s="44" t="s">
        <v>138</v>
      </c>
      <c r="B39" s="43">
        <v>9000</v>
      </c>
      <c r="C39" s="46"/>
      <c r="D39" s="46"/>
      <c r="E39" s="46"/>
      <c r="F39" s="29"/>
      <c r="G39" s="47"/>
      <c r="H39" s="47"/>
      <c r="I39" s="29"/>
    </row>
    <row r="40" spans="1:9">
      <c r="A40" s="44" t="s">
        <v>139</v>
      </c>
      <c r="B40" s="43">
        <v>9001</v>
      </c>
      <c r="C40" s="46"/>
      <c r="D40" s="46"/>
      <c r="E40" s="46"/>
      <c r="F40" s="29"/>
      <c r="G40" s="47"/>
      <c r="H40" s="47"/>
      <c r="I40" s="29"/>
    </row>
    <row r="41" spans="1:9" ht="33" customHeight="1">
      <c r="A41" s="41" t="s">
        <v>140</v>
      </c>
      <c r="B41" s="43">
        <v>10000</v>
      </c>
      <c r="C41" s="46"/>
      <c r="D41" s="46"/>
      <c r="E41" s="46"/>
      <c r="F41" s="29"/>
      <c r="G41" s="47"/>
      <c r="H41" s="47"/>
      <c r="I41" s="29"/>
    </row>
    <row r="42" spans="1:9" ht="32.450000000000003" customHeight="1">
      <c r="A42" s="41" t="s">
        <v>141</v>
      </c>
      <c r="B42" s="43">
        <v>10100</v>
      </c>
      <c r="C42" s="31">
        <f t="shared" ref="C42:D42" si="3">C8</f>
        <v>112137.09999999999</v>
      </c>
      <c r="D42" s="31">
        <f t="shared" si="3"/>
        <v>97569.5</v>
      </c>
      <c r="E42" s="47">
        <f>SUM(F42:I42)</f>
        <v>74841</v>
      </c>
      <c r="F42" s="47">
        <f>F8</f>
        <v>23562.5</v>
      </c>
      <c r="G42" s="47">
        <f t="shared" ref="G42:I42" si="4">G8</f>
        <v>16465.5</v>
      </c>
      <c r="H42" s="47">
        <f t="shared" si="4"/>
        <v>14694.2</v>
      </c>
      <c r="I42" s="47">
        <f t="shared" si="4"/>
        <v>20118.800000000003</v>
      </c>
    </row>
    <row r="43" spans="1:9" ht="30" customHeight="1">
      <c r="A43" s="44" t="s">
        <v>142</v>
      </c>
      <c r="B43" s="43">
        <v>10200</v>
      </c>
      <c r="C43" s="18">
        <v>0</v>
      </c>
      <c r="D43" s="31">
        <v>0</v>
      </c>
      <c r="E43" s="47">
        <f t="shared" ref="E43:E44" si="5">SUM(F43:I43)</f>
        <v>4141.3999999999996</v>
      </c>
      <c r="F43" s="47">
        <f>'Таблиця 2'!F8</f>
        <v>0</v>
      </c>
      <c r="G43" s="47">
        <f>'Таблиця 2'!G8</f>
        <v>0</v>
      </c>
      <c r="H43" s="47">
        <f>'Таблиця 2'!H8</f>
        <v>0</v>
      </c>
      <c r="I43" s="47">
        <f>'Таблиця 2'!I8</f>
        <v>4141.3999999999996</v>
      </c>
    </row>
    <row r="44" spans="1:9" ht="22.9" customHeight="1">
      <c r="A44" s="44" t="s">
        <v>143</v>
      </c>
      <c r="B44" s="43">
        <v>10300</v>
      </c>
      <c r="C44" s="47">
        <f>'Таблиця 1'!C92</f>
        <v>13298.999999999985</v>
      </c>
      <c r="D44" s="47">
        <f>'Таблиця 1'!D92</f>
        <v>3981.7999999999738</v>
      </c>
      <c r="E44" s="47">
        <f t="shared" si="5"/>
        <v>364.99999999999955</v>
      </c>
      <c r="F44" s="47">
        <f>'Таблиця 2'!F14</f>
        <v>0</v>
      </c>
      <c r="G44" s="47">
        <f>'Таблиця 2'!G14</f>
        <v>0</v>
      </c>
      <c r="H44" s="47">
        <f>'Таблиця 2'!H14</f>
        <v>0</v>
      </c>
      <c r="I44" s="47">
        <f>'Таблиця 2'!I14</f>
        <v>364.99999999999955</v>
      </c>
    </row>
    <row r="46" spans="1:9" s="2" customFormat="1"/>
    <row r="47" spans="1:9" s="2" customFormat="1" ht="15" customHeight="1" thickBot="1">
      <c r="A47" s="12" t="s">
        <v>12</v>
      </c>
      <c r="B47" s="13"/>
      <c r="C47" s="13"/>
      <c r="D47" s="13"/>
      <c r="E47" s="103"/>
      <c r="F47" s="103"/>
      <c r="G47" s="96" t="s">
        <v>200</v>
      </c>
      <c r="H47" s="96"/>
      <c r="I47" s="96"/>
    </row>
    <row r="48" spans="1:9" s="2" customFormat="1" ht="24" customHeight="1">
      <c r="A48" s="14" t="s">
        <v>86</v>
      </c>
      <c r="B48" s="102" t="s">
        <v>87</v>
      </c>
      <c r="C48" s="102"/>
      <c r="D48" s="102"/>
      <c r="E48" s="102"/>
      <c r="F48" s="102"/>
      <c r="G48" s="102" t="s">
        <v>88</v>
      </c>
      <c r="H48" s="102"/>
      <c r="I48" s="102"/>
    </row>
  </sheetData>
  <mergeCells count="15">
    <mergeCell ref="G48:I48"/>
    <mergeCell ref="B48:C48"/>
    <mergeCell ref="F4:I4"/>
    <mergeCell ref="B4:B5"/>
    <mergeCell ref="H1:I1"/>
    <mergeCell ref="A2:I2"/>
    <mergeCell ref="G47:I47"/>
    <mergeCell ref="E47:F47"/>
    <mergeCell ref="D48:F48"/>
    <mergeCell ref="A4:A5"/>
    <mergeCell ref="A7:I7"/>
    <mergeCell ref="A31:I31"/>
    <mergeCell ref="C4:C5"/>
    <mergeCell ref="D4:D5"/>
    <mergeCell ref="E4:E5"/>
  </mergeCells>
  <pageMargins left="0.31496062992125984" right="0.31496062992125984" top="0.35433070866141736" bottom="0.35433070866141736" header="0.31496062992125984" footer="0.31496062992125984"/>
  <pageSetup paperSize="9" scale="83" fitToHeight="0" orientation="landscape" r:id="rId1"/>
  <rowBreaks count="1" manualBreakCount="1">
    <brk id="25" max="8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dimension ref="A1:I16"/>
  <sheetViews>
    <sheetView workbookViewId="0">
      <selection activeCell="A33" sqref="A33"/>
    </sheetView>
  </sheetViews>
  <sheetFormatPr defaultColWidth="8.85546875" defaultRowHeight="15"/>
  <cols>
    <col min="1" max="1" width="39.140625" style="49" customWidth="1"/>
    <col min="2" max="2" width="8.85546875" style="49"/>
    <col min="3" max="3" width="11.85546875" style="49" customWidth="1"/>
    <col min="4" max="4" width="10.85546875" style="49" customWidth="1"/>
    <col min="5" max="5" width="11.7109375" style="49" customWidth="1"/>
    <col min="6" max="6" width="12" style="49" customWidth="1"/>
    <col min="7" max="7" width="10.7109375" style="49" customWidth="1"/>
    <col min="8" max="8" width="10.140625" style="49" customWidth="1"/>
    <col min="9" max="9" width="10.28515625" style="49" customWidth="1"/>
    <col min="10" max="16384" width="8.85546875" style="49"/>
  </cols>
  <sheetData>
    <row r="1" spans="1:9">
      <c r="A1" s="48"/>
      <c r="F1" s="48"/>
      <c r="H1" s="105" t="s">
        <v>144</v>
      </c>
      <c r="I1" s="105"/>
    </row>
    <row r="2" spans="1:9">
      <c r="A2" s="106" t="s">
        <v>145</v>
      </c>
      <c r="B2" s="106"/>
      <c r="C2" s="106"/>
      <c r="D2" s="106"/>
      <c r="E2" s="106"/>
      <c r="F2" s="106"/>
      <c r="G2" s="106"/>
      <c r="H2" s="106"/>
      <c r="I2" s="106"/>
    </row>
    <row r="3" spans="1:9">
      <c r="A3" s="50"/>
    </row>
    <row r="4" spans="1:9" ht="15" customHeight="1">
      <c r="A4" s="97" t="s">
        <v>15</v>
      </c>
      <c r="B4" s="97" t="s">
        <v>89</v>
      </c>
      <c r="C4" s="97" t="s">
        <v>184</v>
      </c>
      <c r="D4" s="97" t="s">
        <v>183</v>
      </c>
      <c r="E4" s="97" t="s">
        <v>185</v>
      </c>
      <c r="F4" s="97" t="s">
        <v>177</v>
      </c>
      <c r="G4" s="97"/>
      <c r="H4" s="97"/>
      <c r="I4" s="97"/>
    </row>
    <row r="5" spans="1:9" ht="55.9" customHeight="1">
      <c r="A5" s="97"/>
      <c r="B5" s="97"/>
      <c r="C5" s="97"/>
      <c r="D5" s="97"/>
      <c r="E5" s="97"/>
      <c r="F5" s="43" t="s">
        <v>178</v>
      </c>
      <c r="G5" s="43" t="s">
        <v>179</v>
      </c>
      <c r="H5" s="43" t="s">
        <v>180</v>
      </c>
      <c r="I5" s="43" t="s">
        <v>181</v>
      </c>
    </row>
    <row r="6" spans="1:9" ht="15.75">
      <c r="A6" s="24">
        <v>1</v>
      </c>
      <c r="B6" s="24">
        <v>2</v>
      </c>
      <c r="C6" s="24">
        <v>3</v>
      </c>
      <c r="D6" s="24">
        <v>4</v>
      </c>
      <c r="E6" s="24">
        <v>5</v>
      </c>
      <c r="F6" s="24">
        <v>6</v>
      </c>
      <c r="G6" s="24">
        <v>7</v>
      </c>
      <c r="H6" s="24">
        <v>8</v>
      </c>
      <c r="I6" s="24">
        <v>9</v>
      </c>
    </row>
    <row r="7" spans="1:9">
      <c r="A7" s="51" t="s">
        <v>146</v>
      </c>
      <c r="B7" s="52">
        <v>11000</v>
      </c>
      <c r="C7" s="70">
        <f t="shared" ref="C7:D7" si="0">SUM(C8:C13)</f>
        <v>6395.3</v>
      </c>
      <c r="D7" s="70">
        <f t="shared" si="0"/>
        <v>7100.7</v>
      </c>
      <c r="E7" s="70">
        <f>SUM(E8:E13)</f>
        <v>145.30000000000001</v>
      </c>
      <c r="F7" s="70">
        <f>SUM(F8:F13)</f>
        <v>0</v>
      </c>
      <c r="G7" s="70">
        <f t="shared" ref="G7:I7" si="1">SUM(G8:G13)</f>
        <v>0</v>
      </c>
      <c r="H7" s="70">
        <f t="shared" si="1"/>
        <v>0</v>
      </c>
      <c r="I7" s="70">
        <f t="shared" si="1"/>
        <v>145.30000000000001</v>
      </c>
    </row>
    <row r="8" spans="1:9">
      <c r="A8" s="53" t="s">
        <v>147</v>
      </c>
      <c r="B8" s="32">
        <v>11001</v>
      </c>
      <c r="C8" s="71"/>
      <c r="D8" s="71"/>
      <c r="E8" s="71"/>
      <c r="F8" s="71"/>
      <c r="G8" s="71"/>
      <c r="H8" s="71"/>
      <c r="I8" s="71"/>
    </row>
    <row r="9" spans="1:9">
      <c r="A9" s="53" t="s">
        <v>148</v>
      </c>
      <c r="B9" s="32">
        <v>11002</v>
      </c>
      <c r="C9" s="71">
        <v>1992.8</v>
      </c>
      <c r="D9" s="71">
        <v>6050.7</v>
      </c>
      <c r="E9" s="71">
        <f>SUM(F9:I9)</f>
        <v>45.3</v>
      </c>
      <c r="F9" s="71">
        <v>0</v>
      </c>
      <c r="G9" s="71">
        <v>0</v>
      </c>
      <c r="H9" s="71">
        <v>0</v>
      </c>
      <c r="I9" s="71">
        <v>45.3</v>
      </c>
    </row>
    <row r="10" spans="1:9" ht="28.9" customHeight="1">
      <c r="A10" s="53" t="s">
        <v>149</v>
      </c>
      <c r="B10" s="32">
        <v>11003</v>
      </c>
      <c r="C10" s="71"/>
      <c r="D10" s="71"/>
      <c r="E10" s="71"/>
      <c r="F10" s="71"/>
      <c r="G10" s="71"/>
      <c r="H10" s="71"/>
      <c r="I10" s="71"/>
    </row>
    <row r="11" spans="1:9">
      <c r="A11" s="53" t="s">
        <v>150</v>
      </c>
      <c r="B11" s="32">
        <v>11004</v>
      </c>
      <c r="C11" s="71"/>
      <c r="D11" s="71"/>
      <c r="E11" s="71"/>
      <c r="F11" s="71"/>
      <c r="G11" s="71"/>
      <c r="H11" s="71"/>
      <c r="I11" s="71"/>
    </row>
    <row r="12" spans="1:9" ht="38.25">
      <c r="A12" s="53" t="s">
        <v>138</v>
      </c>
      <c r="B12" s="32">
        <v>11005</v>
      </c>
      <c r="C12" s="71"/>
      <c r="D12" s="71"/>
      <c r="E12" s="71"/>
      <c r="F12" s="71"/>
      <c r="G12" s="71"/>
      <c r="H12" s="71"/>
      <c r="I12" s="71"/>
    </row>
    <row r="13" spans="1:9">
      <c r="A13" s="53" t="s">
        <v>139</v>
      </c>
      <c r="B13" s="32">
        <v>11006</v>
      </c>
      <c r="C13" s="71">
        <v>4402.5</v>
      </c>
      <c r="D13" s="71">
        <v>1050</v>
      </c>
      <c r="E13" s="71">
        <f>SUM(F13:I13)</f>
        <v>100</v>
      </c>
      <c r="F13" s="71">
        <v>0</v>
      </c>
      <c r="G13" s="71">
        <v>0</v>
      </c>
      <c r="H13" s="71">
        <v>0</v>
      </c>
      <c r="I13" s="71">
        <v>100</v>
      </c>
    </row>
    <row r="14" spans="1:9">
      <c r="A14" s="54"/>
    </row>
    <row r="15" spans="1:9" ht="19.149999999999999" customHeight="1" thickBot="1">
      <c r="A15" s="12" t="s">
        <v>12</v>
      </c>
      <c r="B15" s="34"/>
      <c r="C15" s="34"/>
      <c r="D15" s="34"/>
      <c r="E15" s="99"/>
      <c r="F15" s="99"/>
      <c r="G15" s="99" t="s">
        <v>200</v>
      </c>
      <c r="H15" s="99"/>
      <c r="I15" s="99"/>
    </row>
    <row r="16" spans="1:9" ht="24" customHeight="1">
      <c r="A16" s="40" t="s">
        <v>86</v>
      </c>
      <c r="B16" s="35" t="s">
        <v>87</v>
      </c>
      <c r="C16" s="35"/>
      <c r="D16" s="35"/>
      <c r="E16" s="101"/>
      <c r="F16" s="101"/>
      <c r="G16" s="101" t="s">
        <v>88</v>
      </c>
      <c r="H16" s="101"/>
      <c r="I16" s="101"/>
    </row>
  </sheetData>
  <mergeCells count="12">
    <mergeCell ref="H1:I1"/>
    <mergeCell ref="A2:I2"/>
    <mergeCell ref="G15:I15"/>
    <mergeCell ref="G16:I16"/>
    <mergeCell ref="E15:F15"/>
    <mergeCell ref="E16:F16"/>
    <mergeCell ref="A4:A5"/>
    <mergeCell ref="C4:C5"/>
    <mergeCell ref="D4:D5"/>
    <mergeCell ref="E4:E5"/>
    <mergeCell ref="F4:I4"/>
    <mergeCell ref="B4:B5"/>
  </mergeCells>
  <pageMargins left="0.31496062992125984" right="0.31496062992125984" top="0.74803149606299213" bottom="0.74803149606299213" header="0.31496062992125984" footer="0.31496062992125984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E30"/>
  <sheetViews>
    <sheetView topLeftCell="A8" workbookViewId="0">
      <selection activeCell="A6" sqref="A6"/>
    </sheetView>
  </sheetViews>
  <sheetFormatPr defaultColWidth="8.85546875" defaultRowHeight="15.75"/>
  <cols>
    <col min="1" max="1" width="80.5703125" style="59" customWidth="1"/>
    <col min="2" max="2" width="16.7109375" style="59" customWidth="1"/>
    <col min="3" max="3" width="20" style="59" customWidth="1"/>
    <col min="4" max="4" width="18.28515625" style="59" customWidth="1"/>
    <col min="5" max="16384" width="8.85546875" style="59"/>
  </cols>
  <sheetData>
    <row r="1" spans="1:4">
      <c r="A1" s="55"/>
      <c r="D1" s="55" t="s">
        <v>151</v>
      </c>
    </row>
    <row r="2" spans="1:4">
      <c r="A2" s="98" t="s">
        <v>152</v>
      </c>
      <c r="B2" s="98"/>
      <c r="C2" s="98"/>
      <c r="D2" s="98"/>
    </row>
    <row r="3" spans="1:4">
      <c r="A3" s="56"/>
    </row>
    <row r="4" spans="1:4" ht="50.45" customHeight="1">
      <c r="A4" s="43" t="s">
        <v>15</v>
      </c>
      <c r="B4" s="43" t="s">
        <v>184</v>
      </c>
      <c r="C4" s="43" t="s">
        <v>183</v>
      </c>
      <c r="D4" s="43" t="s">
        <v>187</v>
      </c>
    </row>
    <row r="5" spans="1:4">
      <c r="A5" s="42">
        <v>1</v>
      </c>
      <c r="B5" s="42">
        <v>2</v>
      </c>
      <c r="C5" s="42">
        <v>3</v>
      </c>
      <c r="D5" s="42">
        <v>4</v>
      </c>
    </row>
    <row r="6" spans="1:4" ht="31.9" customHeight="1">
      <c r="A6" s="84" t="s">
        <v>192</v>
      </c>
      <c r="B6" s="42">
        <f>SUM(B7:B9)</f>
        <v>344</v>
      </c>
      <c r="C6" s="42">
        <f>SUM(C7:C9)</f>
        <v>393.5</v>
      </c>
      <c r="D6" s="42">
        <f>SUM(D7:D9)</f>
        <v>261.25</v>
      </c>
    </row>
    <row r="7" spans="1:4">
      <c r="A7" s="44" t="s">
        <v>153</v>
      </c>
      <c r="B7" s="43">
        <v>1</v>
      </c>
      <c r="C7" s="43">
        <v>1</v>
      </c>
      <c r="D7" s="83">
        <v>1</v>
      </c>
    </row>
    <row r="8" spans="1:4">
      <c r="A8" s="44" t="s">
        <v>154</v>
      </c>
      <c r="B8" s="43">
        <v>50</v>
      </c>
      <c r="C8" s="43">
        <v>72.5</v>
      </c>
      <c r="D8" s="83">
        <v>49</v>
      </c>
    </row>
    <row r="9" spans="1:4">
      <c r="A9" s="44" t="s">
        <v>155</v>
      </c>
      <c r="B9" s="43">
        <v>293</v>
      </c>
      <c r="C9" s="43">
        <v>320</v>
      </c>
      <c r="D9" s="83">
        <v>211.25</v>
      </c>
    </row>
    <row r="10" spans="1:4">
      <c r="A10" s="41" t="s">
        <v>156</v>
      </c>
      <c r="B10" s="69">
        <f>SUM(B11:B13)</f>
        <v>57675.1</v>
      </c>
      <c r="C10" s="69">
        <f>SUM(C11:C13)</f>
        <v>40739.800000000003</v>
      </c>
      <c r="D10" s="69">
        <f>SUM(D11:D13)</f>
        <v>47671.1</v>
      </c>
    </row>
    <row r="11" spans="1:4">
      <c r="A11" s="44" t="s">
        <v>153</v>
      </c>
      <c r="B11" s="46">
        <v>320.39999999999998</v>
      </c>
      <c r="C11" s="46">
        <v>322.60000000000002</v>
      </c>
      <c r="D11" s="78">
        <v>627.20000000000005</v>
      </c>
    </row>
    <row r="12" spans="1:4">
      <c r="A12" s="44" t="s">
        <v>154</v>
      </c>
      <c r="B12" s="46">
        <v>6094.1</v>
      </c>
      <c r="C12" s="46">
        <v>5665.9</v>
      </c>
      <c r="D12" s="78">
        <v>4401.5</v>
      </c>
    </row>
    <row r="13" spans="1:4">
      <c r="A13" s="44" t="s">
        <v>155</v>
      </c>
      <c r="B13" s="46">
        <v>51260.6</v>
      </c>
      <c r="C13" s="46">
        <v>34751.300000000003</v>
      </c>
      <c r="D13" s="78">
        <v>42642.400000000001</v>
      </c>
    </row>
    <row r="14" spans="1:4" ht="31.5">
      <c r="A14" s="41" t="s">
        <v>157</v>
      </c>
      <c r="B14" s="30"/>
      <c r="C14" s="30"/>
      <c r="D14" s="79"/>
    </row>
    <row r="15" spans="1:4">
      <c r="A15" s="44" t="s">
        <v>153</v>
      </c>
      <c r="B15" s="46">
        <f>B11/12/B7</f>
        <v>26.7</v>
      </c>
      <c r="C15" s="46">
        <f t="shared" ref="C15:D17" si="0">C11/C7/12</f>
        <v>26.883333333333336</v>
      </c>
      <c r="D15" s="46">
        <f t="shared" si="0"/>
        <v>52.266666666666673</v>
      </c>
    </row>
    <row r="16" spans="1:4">
      <c r="A16" s="44" t="s">
        <v>154</v>
      </c>
      <c r="B16" s="46">
        <f>B12/12/B8</f>
        <v>10.156833333333333</v>
      </c>
      <c r="C16" s="46">
        <f t="shared" si="0"/>
        <v>6.5125287356321833</v>
      </c>
      <c r="D16" s="46">
        <f t="shared" si="0"/>
        <v>7.4855442176870746</v>
      </c>
    </row>
    <row r="17" spans="1:5">
      <c r="A17" s="44" t="s">
        <v>155</v>
      </c>
      <c r="B17" s="46">
        <f>B13/12/B9</f>
        <v>14.5792377701934</v>
      </c>
      <c r="C17" s="46">
        <f t="shared" si="0"/>
        <v>9.0498177083333342</v>
      </c>
      <c r="D17" s="46">
        <f t="shared" si="0"/>
        <v>16.821459566074953</v>
      </c>
    </row>
    <row r="18" spans="1:5">
      <c r="A18" s="41" t="s">
        <v>158</v>
      </c>
      <c r="B18" s="69">
        <f>SUM(B19:B21)</f>
        <v>69361.088000000003</v>
      </c>
      <c r="C18" s="69">
        <f>SUM(C19:C21)</f>
        <v>49313.5</v>
      </c>
      <c r="D18" s="69">
        <f>SUM(D19:D21)</f>
        <v>58108.742000000006</v>
      </c>
    </row>
    <row r="19" spans="1:5">
      <c r="A19" s="44" t="s">
        <v>153</v>
      </c>
      <c r="B19" s="46">
        <f>B11*1.22</f>
        <v>390.88799999999998</v>
      </c>
      <c r="C19" s="46">
        <v>390.3</v>
      </c>
      <c r="D19" s="78">
        <f>D11*1.22</f>
        <v>765.18400000000008</v>
      </c>
    </row>
    <row r="20" spans="1:5">
      <c r="A20" s="44" t="s">
        <v>154</v>
      </c>
      <c r="B20" s="46">
        <v>7322.2</v>
      </c>
      <c r="C20" s="46">
        <v>6855.7</v>
      </c>
      <c r="D20" s="78">
        <f>D12*1.22</f>
        <v>5369.83</v>
      </c>
    </row>
    <row r="21" spans="1:5">
      <c r="A21" s="44" t="s">
        <v>155</v>
      </c>
      <c r="B21" s="46">
        <v>61648</v>
      </c>
      <c r="C21" s="46">
        <v>42067.5</v>
      </c>
      <c r="D21" s="78">
        <f>(D13*1.22)-50</f>
        <v>51973.728000000003</v>
      </c>
    </row>
    <row r="22" spans="1:5" ht="31.5">
      <c r="A22" s="41" t="s">
        <v>159</v>
      </c>
      <c r="B22" s="30"/>
      <c r="C22" s="30"/>
      <c r="D22" s="79"/>
    </row>
    <row r="23" spans="1:5">
      <c r="A23" s="44" t="s">
        <v>153</v>
      </c>
      <c r="B23" s="46">
        <f t="shared" ref="B23:D25" si="1">B19/12/B7</f>
        <v>32.573999999999998</v>
      </c>
      <c r="C23" s="46">
        <f t="shared" si="1"/>
        <v>32.524999999999999</v>
      </c>
      <c r="D23" s="46">
        <f t="shared" si="1"/>
        <v>63.765333333333338</v>
      </c>
    </row>
    <row r="24" spans="1:5">
      <c r="A24" s="44" t="s">
        <v>154</v>
      </c>
      <c r="B24" s="46">
        <f t="shared" si="1"/>
        <v>12.203666666666665</v>
      </c>
      <c r="C24" s="46">
        <f t="shared" si="1"/>
        <v>7.8801149425287349</v>
      </c>
      <c r="D24" s="46">
        <f t="shared" si="1"/>
        <v>9.1323639455782324</v>
      </c>
    </row>
    <row r="25" spans="1:5">
      <c r="A25" s="44" t="s">
        <v>155</v>
      </c>
      <c r="B25" s="46">
        <f t="shared" si="1"/>
        <v>17.533560864618885</v>
      </c>
      <c r="C25" s="46">
        <f t="shared" si="1"/>
        <v>10.955078125</v>
      </c>
      <c r="D25" s="46">
        <f t="shared" si="1"/>
        <v>20.502456804733729</v>
      </c>
    </row>
    <row r="26" spans="1:5">
      <c r="A26" s="57"/>
      <c r="B26" s="60"/>
      <c r="C26" s="60"/>
      <c r="D26" s="60"/>
    </row>
    <row r="27" spans="1:5">
      <c r="A27" s="58"/>
    </row>
    <row r="28" spans="1:5" ht="16.149999999999999" customHeight="1" thickBot="1">
      <c r="A28" s="12" t="s">
        <v>12</v>
      </c>
      <c r="B28" s="99" t="s">
        <v>200</v>
      </c>
      <c r="C28" s="99"/>
      <c r="D28" s="99"/>
      <c r="E28" s="61"/>
    </row>
    <row r="29" spans="1:5">
      <c r="A29" s="14" t="s">
        <v>163</v>
      </c>
      <c r="B29" s="62"/>
      <c r="C29" s="107" t="s">
        <v>162</v>
      </c>
      <c r="D29" s="107"/>
      <c r="E29" s="62"/>
    </row>
    <row r="30" spans="1:5">
      <c r="A30" s="58"/>
    </row>
  </sheetData>
  <mergeCells count="3">
    <mergeCell ref="C29:D29"/>
    <mergeCell ref="B28:D28"/>
    <mergeCell ref="A2:D2"/>
  </mergeCells>
  <pageMargins left="0.31496062992125984" right="0.31496062992125984" top="0.35433070866141736" bottom="0.35433070866141736" header="0.31496062992125984" footer="0.31496062992125984"/>
  <pageSetup paperSize="9" fitToWidth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3</vt:i4>
      </vt:variant>
    </vt:vector>
  </HeadingPairs>
  <TitlesOfParts>
    <vt:vector size="8" baseType="lpstr">
      <vt:lpstr>Таблиця 1</vt:lpstr>
      <vt:lpstr>Таблиця 2</vt:lpstr>
      <vt:lpstr>Таблиця 3</vt:lpstr>
      <vt:lpstr>Таблиця 4</vt:lpstr>
      <vt:lpstr>Таблиця 5</vt:lpstr>
      <vt:lpstr>'Таблиця 4'!bookmark4</vt:lpstr>
      <vt:lpstr>'Таблиця 1'!Область_печати</vt:lpstr>
      <vt:lpstr>'Таблиця 3'!Область_печати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2023-12-05T14:10:45Z</dcterms:modified>
</cp:coreProperties>
</file>